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EE" sheetId="3" r:id="rId1"/>
    <sheet name="ZP faktury" sheetId="2" r:id="rId2"/>
    <sheet name="VODA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3" l="1"/>
  <c r="F30" i="3"/>
  <c r="F29" i="3"/>
  <c r="F28" i="3"/>
  <c r="F27" i="3"/>
  <c r="F26" i="3"/>
  <c r="F25" i="3"/>
  <c r="F24" i="3"/>
  <c r="F23" i="3"/>
  <c r="F22" i="3"/>
  <c r="F21" i="3"/>
  <c r="F20" i="3"/>
  <c r="J48" i="3" l="1"/>
  <c r="C48" i="3"/>
  <c r="B48" i="3"/>
  <c r="B53" i="3" s="1"/>
  <c r="J32" i="3"/>
  <c r="C32" i="3"/>
  <c r="B32" i="3"/>
  <c r="J16" i="3"/>
  <c r="C16" i="3"/>
  <c r="B16" i="3"/>
  <c r="B52" i="3" l="1"/>
  <c r="B51" i="3"/>
  <c r="K21" i="3"/>
  <c r="L21" i="3" s="1"/>
  <c r="K20" i="3"/>
  <c r="L20" i="3" s="1"/>
  <c r="D21" i="3"/>
  <c r="D22" i="3"/>
  <c r="D23" i="3"/>
  <c r="D24" i="3"/>
  <c r="D25" i="3"/>
  <c r="D26" i="3"/>
  <c r="D27" i="3"/>
  <c r="D28" i="3"/>
  <c r="D29" i="3"/>
  <c r="D30" i="3"/>
  <c r="D31" i="3"/>
  <c r="D20" i="3"/>
  <c r="C41" i="2"/>
  <c r="I41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B40" i="2"/>
  <c r="C40" i="2" s="1"/>
  <c r="I40" i="2" s="1"/>
  <c r="B39" i="2"/>
  <c r="C39" i="2" s="1"/>
  <c r="B38" i="2"/>
  <c r="C38" i="2" s="1"/>
  <c r="F36" i="2"/>
  <c r="B37" i="2" s="1"/>
  <c r="C28" i="2"/>
  <c r="B31" i="2"/>
  <c r="C31" i="2" s="1"/>
  <c r="B30" i="2"/>
  <c r="C30" i="2" s="1"/>
  <c r="B29" i="2"/>
  <c r="C29" i="2" s="1"/>
  <c r="B28" i="2"/>
  <c r="B27" i="2"/>
  <c r="C27" i="2" s="1"/>
  <c r="B26" i="2"/>
  <c r="C26" i="2" s="1"/>
  <c r="B25" i="2"/>
  <c r="C25" i="2" s="1"/>
  <c r="B24" i="2"/>
  <c r="C24" i="2" s="1"/>
  <c r="B23" i="2"/>
  <c r="C23" i="2" s="1"/>
  <c r="B22" i="2"/>
  <c r="C22" i="2" s="1"/>
  <c r="B21" i="2"/>
  <c r="C21" i="2" s="1"/>
  <c r="F19" i="2"/>
  <c r="B20" i="2" s="1"/>
  <c r="B6" i="2"/>
  <c r="C6" i="2" s="1"/>
  <c r="B14" i="2"/>
  <c r="C14" i="2" s="1"/>
  <c r="B4" i="2"/>
  <c r="C4" i="2" s="1"/>
  <c r="B5" i="2"/>
  <c r="C5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3" i="2"/>
  <c r="B51" i="2" s="1"/>
  <c r="J40" i="1"/>
  <c r="K40" i="1" s="1"/>
  <c r="J39" i="1"/>
  <c r="J38" i="1"/>
  <c r="K38" i="1" s="1"/>
  <c r="J37" i="1"/>
  <c r="K37" i="1" s="1"/>
  <c r="J36" i="1"/>
  <c r="K39" i="1"/>
  <c r="K36" i="1"/>
  <c r="I45" i="2" l="1"/>
  <c r="K45" i="2"/>
  <c r="B53" i="2"/>
  <c r="C37" i="2"/>
  <c r="B52" i="2"/>
  <c r="C20" i="2"/>
  <c r="L32" i="3"/>
  <c r="C3" i="2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E34" i="1"/>
  <c r="B35" i="1" s="1"/>
  <c r="K24" i="1"/>
  <c r="J21" i="1"/>
  <c r="K21" i="1" s="1"/>
  <c r="K22" i="1"/>
  <c r="K23" i="1"/>
  <c r="K8" i="1"/>
  <c r="K20" i="1"/>
  <c r="J20" i="1"/>
  <c r="J8" i="1"/>
  <c r="B20" i="1"/>
  <c r="B21" i="1"/>
  <c r="B22" i="1"/>
  <c r="B23" i="1"/>
  <c r="B24" i="1"/>
  <c r="B25" i="1"/>
  <c r="B26" i="1"/>
  <c r="B27" i="1"/>
  <c r="B28" i="1"/>
  <c r="B29" i="1"/>
  <c r="B30" i="1"/>
  <c r="B19" i="1"/>
  <c r="E14" i="1"/>
  <c r="B14" i="1" s="1"/>
  <c r="K7" i="1"/>
  <c r="J7" i="1"/>
  <c r="J6" i="1"/>
  <c r="K6" i="1" s="1"/>
  <c r="K5" i="1"/>
  <c r="J5" i="1"/>
  <c r="K4" i="1"/>
  <c r="B13" i="1"/>
  <c r="B12" i="1"/>
  <c r="B11" i="1"/>
  <c r="B10" i="1"/>
  <c r="B9" i="1"/>
  <c r="B8" i="1"/>
  <c r="B7" i="1"/>
  <c r="B6" i="1"/>
  <c r="B5" i="1"/>
  <c r="B4" i="1"/>
  <c r="B3" i="1"/>
  <c r="L37" i="3"/>
  <c r="L36" i="3"/>
  <c r="L48" i="3" s="1"/>
  <c r="D47" i="3"/>
  <c r="D46" i="3"/>
  <c r="D45" i="3"/>
  <c r="D44" i="3"/>
  <c r="D43" i="3"/>
  <c r="D42" i="3"/>
  <c r="D41" i="3"/>
  <c r="D40" i="3"/>
  <c r="D39" i="3"/>
  <c r="D38" i="3"/>
  <c r="D36" i="3"/>
  <c r="D37" i="3"/>
  <c r="L5" i="3"/>
  <c r="L4" i="3"/>
  <c r="D5" i="3"/>
  <c r="D6" i="3"/>
  <c r="D7" i="3"/>
  <c r="D8" i="3"/>
  <c r="D9" i="3"/>
  <c r="D10" i="3"/>
  <c r="D11" i="3"/>
  <c r="D12" i="3"/>
  <c r="D13" i="3"/>
  <c r="D14" i="3"/>
  <c r="D15" i="3"/>
  <c r="D4" i="3"/>
  <c r="L16" i="3" l="1"/>
  <c r="B50" i="1"/>
  <c r="B49" i="1"/>
  <c r="I3" i="2"/>
  <c r="K3" i="2"/>
  <c r="K20" i="2"/>
  <c r="I20" i="2"/>
  <c r="C35" i="1"/>
  <c r="C51" i="1" s="1"/>
  <c r="B51" i="1"/>
  <c r="C20" i="1"/>
  <c r="C21" i="1"/>
  <c r="C22" i="1"/>
  <c r="C23" i="1"/>
  <c r="C24" i="1"/>
  <c r="C25" i="1"/>
  <c r="C26" i="1"/>
  <c r="C27" i="1"/>
  <c r="C28" i="1"/>
  <c r="C29" i="1"/>
  <c r="C30" i="1"/>
  <c r="C19" i="1"/>
  <c r="C50" i="1" s="1"/>
  <c r="E50" i="1" l="1"/>
  <c r="E51" i="1"/>
  <c r="C11" i="1"/>
  <c r="C9" i="1"/>
  <c r="C5" i="1"/>
  <c r="C4" i="1"/>
  <c r="C6" i="1"/>
  <c r="C7" i="1"/>
  <c r="C8" i="1"/>
  <c r="C10" i="1"/>
  <c r="C12" i="1"/>
  <c r="C13" i="1"/>
  <c r="C14" i="1"/>
  <c r="C3" i="1"/>
  <c r="C49" i="1" l="1"/>
  <c r="H45" i="2"/>
  <c r="E49" i="1" l="1"/>
  <c r="I44" i="2"/>
  <c r="H44" i="2"/>
  <c r="K44" i="2"/>
  <c r="J44" i="2"/>
  <c r="I43" i="2"/>
  <c r="H43" i="2"/>
  <c r="K43" i="2"/>
  <c r="J43" i="2"/>
  <c r="K42" i="2"/>
  <c r="H42" i="2"/>
  <c r="J42" i="2"/>
  <c r="I42" i="2"/>
  <c r="J41" i="2"/>
  <c r="H41" i="2"/>
  <c r="K41" i="2"/>
  <c r="H40" i="2"/>
  <c r="K40" i="2"/>
  <c r="J40" i="2"/>
  <c r="K39" i="2"/>
  <c r="J39" i="2"/>
  <c r="I39" i="2"/>
  <c r="H39" i="2"/>
  <c r="D39" i="2" s="1"/>
  <c r="E39" i="2" s="1"/>
  <c r="J38" i="2"/>
  <c r="I38" i="2"/>
  <c r="H38" i="2"/>
  <c r="K38" i="2"/>
  <c r="J37" i="2"/>
  <c r="I37" i="2"/>
  <c r="K37" i="2"/>
  <c r="H37" i="2"/>
  <c r="D37" i="2" s="1"/>
  <c r="E37" i="2" s="1"/>
  <c r="H48" i="2"/>
  <c r="K48" i="2"/>
  <c r="J48" i="2"/>
  <c r="I48" i="2"/>
  <c r="K46" i="2"/>
  <c r="J46" i="2"/>
  <c r="I46" i="2"/>
  <c r="H46" i="2"/>
  <c r="D46" i="2" s="1"/>
  <c r="E46" i="2" s="1"/>
  <c r="K47" i="2"/>
  <c r="H47" i="2"/>
  <c r="J47" i="2"/>
  <c r="I47" i="2"/>
  <c r="J45" i="2"/>
  <c r="K31" i="2"/>
  <c r="H31" i="2"/>
  <c r="J31" i="2"/>
  <c r="I31" i="2"/>
  <c r="D48" i="2" l="1"/>
  <c r="E48" i="2" s="1"/>
  <c r="D43" i="2"/>
  <c r="E43" i="2" s="1"/>
  <c r="D31" i="2"/>
  <c r="E31" i="2" s="1"/>
  <c r="D41" i="2"/>
  <c r="E41" i="2" s="1"/>
  <c r="D40" i="2"/>
  <c r="E40" i="2" s="1"/>
  <c r="D44" i="2"/>
  <c r="E44" i="2" s="1"/>
  <c r="D42" i="2"/>
  <c r="E42" i="2" s="1"/>
  <c r="D38" i="2"/>
  <c r="E38" i="2" s="1"/>
  <c r="C53" i="2" s="1"/>
  <c r="D47" i="2"/>
  <c r="E47" i="2" s="1"/>
  <c r="D45" i="2"/>
  <c r="E45" i="2" s="1"/>
  <c r="H3" i="2" l="1"/>
  <c r="E39" i="3"/>
  <c r="E40" i="3"/>
  <c r="E42" i="3"/>
  <c r="E43" i="3"/>
  <c r="E44" i="3"/>
  <c r="E46" i="3"/>
  <c r="E47" i="3"/>
  <c r="E36" i="3"/>
  <c r="E45" i="3"/>
  <c r="E41" i="3"/>
  <c r="E38" i="3"/>
  <c r="E37" i="3"/>
  <c r="E23" i="3"/>
  <c r="E24" i="3"/>
  <c r="E26" i="3"/>
  <c r="E27" i="3"/>
  <c r="E28" i="3"/>
  <c r="E30" i="3"/>
  <c r="E31" i="3"/>
  <c r="E20" i="3"/>
  <c r="E29" i="3"/>
  <c r="E25" i="3"/>
  <c r="E22" i="3"/>
  <c r="E21" i="3"/>
  <c r="E5" i="3"/>
  <c r="E6" i="3"/>
  <c r="E7" i="3"/>
  <c r="E8" i="3"/>
  <c r="E9" i="3"/>
  <c r="E10" i="3"/>
  <c r="E11" i="3"/>
  <c r="E12" i="3"/>
  <c r="E13" i="3"/>
  <c r="E14" i="3"/>
  <c r="E15" i="3"/>
  <c r="E4" i="3"/>
  <c r="E16" i="3" l="1"/>
  <c r="C51" i="3" s="1"/>
  <c r="E32" i="3"/>
  <c r="C52" i="3" s="1"/>
  <c r="E48" i="3"/>
  <c r="C53" i="3" s="1"/>
  <c r="H30" i="2"/>
  <c r="I30" i="2"/>
  <c r="J30" i="2"/>
  <c r="K30" i="2"/>
  <c r="I29" i="2"/>
  <c r="J29" i="2"/>
  <c r="K29" i="2"/>
  <c r="H29" i="2"/>
  <c r="J28" i="2"/>
  <c r="K28" i="2"/>
  <c r="H28" i="2"/>
  <c r="I28" i="2"/>
  <c r="K27" i="2"/>
  <c r="I27" i="2"/>
  <c r="J27" i="2"/>
  <c r="H27" i="2"/>
  <c r="H26" i="2"/>
  <c r="I26" i="2"/>
  <c r="K26" i="2"/>
  <c r="J26" i="2"/>
  <c r="I25" i="2"/>
  <c r="H25" i="2"/>
  <c r="J25" i="2"/>
  <c r="K25" i="2"/>
  <c r="I24" i="2"/>
  <c r="J24" i="2"/>
  <c r="K24" i="2"/>
  <c r="H24" i="2"/>
  <c r="K23" i="2"/>
  <c r="H23" i="2"/>
  <c r="I23" i="2"/>
  <c r="J23" i="2"/>
  <c r="H21" i="2"/>
  <c r="I21" i="2"/>
  <c r="J21" i="2"/>
  <c r="K21" i="2"/>
  <c r="H22" i="2"/>
  <c r="I22" i="2"/>
  <c r="K22" i="2"/>
  <c r="J22" i="2"/>
  <c r="I14" i="2"/>
  <c r="D14" i="2" s="1"/>
  <c r="E14" i="2" s="1"/>
  <c r="H14" i="2"/>
  <c r="J14" i="2"/>
  <c r="K14" i="2"/>
  <c r="J12" i="2"/>
  <c r="K12" i="2"/>
  <c r="I12" i="2"/>
  <c r="H12" i="2"/>
  <c r="J11" i="2"/>
  <c r="K11" i="2"/>
  <c r="H11" i="2"/>
  <c r="I11" i="2"/>
  <c r="J6" i="2"/>
  <c r="I6" i="2"/>
  <c r="K6" i="2"/>
  <c r="H6" i="2"/>
  <c r="J9" i="2"/>
  <c r="K9" i="2"/>
  <c r="I9" i="2"/>
  <c r="H9" i="2"/>
  <c r="J10" i="2"/>
  <c r="I10" i="2"/>
  <c r="K10" i="2"/>
  <c r="H10" i="2"/>
  <c r="J5" i="2"/>
  <c r="K5" i="2"/>
  <c r="H5" i="2"/>
  <c r="I5" i="2"/>
  <c r="J7" i="2"/>
  <c r="K7" i="2"/>
  <c r="H7" i="2"/>
  <c r="I7" i="2"/>
  <c r="J13" i="2"/>
  <c r="I13" i="2"/>
  <c r="K13" i="2"/>
  <c r="H13" i="2"/>
  <c r="J8" i="2"/>
  <c r="I8" i="2"/>
  <c r="K8" i="2"/>
  <c r="H8" i="2"/>
  <c r="J4" i="2"/>
  <c r="K4" i="2"/>
  <c r="I4" i="2"/>
  <c r="H4" i="2"/>
  <c r="J20" i="2"/>
  <c r="J3" i="2"/>
  <c r="D3" i="2" s="1"/>
  <c r="H20" i="2"/>
  <c r="D28" i="2" l="1"/>
  <c r="E28" i="2" s="1"/>
  <c r="D26" i="2"/>
  <c r="E26" i="2" s="1"/>
  <c r="D27" i="2"/>
  <c r="E27" i="2" s="1"/>
  <c r="D23" i="2"/>
  <c r="E23" i="2" s="1"/>
  <c r="D22" i="2"/>
  <c r="E22" i="2" s="1"/>
  <c r="D25" i="2"/>
  <c r="E25" i="2" s="1"/>
  <c r="D21" i="2"/>
  <c r="E21" i="2" s="1"/>
  <c r="D24" i="2"/>
  <c r="E24" i="2" s="1"/>
  <c r="E3" i="2"/>
  <c r="D20" i="2"/>
  <c r="E20" i="2" s="1"/>
  <c r="D5" i="2"/>
  <c r="E5" i="2" s="1"/>
  <c r="D7" i="2"/>
  <c r="E7" i="2" s="1"/>
  <c r="D9" i="2"/>
  <c r="E9" i="2" s="1"/>
  <c r="D6" i="2"/>
  <c r="E6" i="2" s="1"/>
  <c r="D10" i="2"/>
  <c r="E10" i="2" s="1"/>
  <c r="D11" i="2"/>
  <c r="E11" i="2" s="1"/>
  <c r="D13" i="2"/>
  <c r="E13" i="2" s="1"/>
  <c r="D4" i="2"/>
  <c r="E4" i="2" s="1"/>
  <c r="D8" i="2"/>
  <c r="E8" i="2" s="1"/>
  <c r="D12" i="2"/>
  <c r="E12" i="2" s="1"/>
  <c r="D30" i="2"/>
  <c r="E30" i="2" s="1"/>
  <c r="D29" i="2"/>
  <c r="E29" i="2" s="1"/>
  <c r="C51" i="2" l="1"/>
  <c r="C52" i="2"/>
</calcChain>
</file>

<file path=xl/sharedStrings.xml><?xml version="1.0" encoding="utf-8"?>
<sst xmlns="http://schemas.openxmlformats.org/spreadsheetml/2006/main" count="223" uniqueCount="46">
  <si>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</si>
  <si>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</si>
  <si>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</si>
  <si>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</si>
  <si>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</si>
  <si>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</si>
  <si>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</si>
  <si>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</si>
  <si>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</si>
  <si>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</si>
  <si>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</si>
  <si>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</si>
  <si>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MWh</t>
  </si>
  <si>
    <t>Kč bez DPH</t>
  </si>
  <si>
    <t>Kč s DPH</t>
  </si>
  <si>
    <t>m3</t>
  </si>
  <si>
    <t>daň</t>
  </si>
  <si>
    <t>distruibuce</t>
  </si>
  <si>
    <t>OT</t>
  </si>
  <si>
    <t>dodávka</t>
  </si>
  <si>
    <t>stav plynoměru</t>
  </si>
  <si>
    <t>vodné a stočné</t>
  </si>
  <si>
    <t>Vytápění</t>
  </si>
  <si>
    <t>EAN859182400601622088</t>
  </si>
  <si>
    <t>jistič 3x160A</t>
  </si>
  <si>
    <t>VT</t>
  </si>
  <si>
    <t>NT</t>
  </si>
  <si>
    <t>TDD2</t>
  </si>
  <si>
    <t>EAN859182400601522548</t>
  </si>
  <si>
    <t>TDD1</t>
  </si>
  <si>
    <t>3x32A</t>
  </si>
  <si>
    <t>vodoměr</t>
  </si>
  <si>
    <t>1.1.</t>
  </si>
  <si>
    <t>10.3.</t>
  </si>
  <si>
    <t>11.3.</t>
  </si>
  <si>
    <t>10.6.</t>
  </si>
  <si>
    <t>11.6.</t>
  </si>
  <si>
    <t>10.9.</t>
  </si>
  <si>
    <t>11.9.</t>
  </si>
  <si>
    <t>10.12.</t>
  </si>
  <si>
    <t>11.12.</t>
  </si>
  <si>
    <t>31.12.</t>
  </si>
  <si>
    <t>30.11.</t>
  </si>
  <si>
    <t>EIC27ZG200Z0236258K</t>
  </si>
  <si>
    <t>Voda vila - platí nájemci</t>
  </si>
  <si>
    <t>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</si>
</sst>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2" borderId="0" xfId="0" applyFill="1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4" fontId="0" fillId="2" borderId="0" xfId="0" applyNumberFormat="1" applyFill="1"/>
    <xf numFmtId="0" fontId="0" fillId="0" borderId="0" xfId="0" applyFill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workbookViewId="0"/>
  </sheetViews>
  <sheetFormatPr defaultRowHeight="15" x14ac:dyDescent="0.25"/>
  <cols>
    <col min="2" max="2" width="9.5703125" bestFit="1" customWidth="1"/>
    <col min="3" max="3" width="10.5703125" bestFit="1" customWidth="1"/>
    <col min="4" max="5" width="12" bestFit="1" customWidth="1"/>
    <col min="8" max="9" width="10.140625" bestFit="1" customWidth="1"/>
  </cols>
  <sheetData>
    <row r="1" spans="1:12" x14ac:dyDescent="0.25">
      <c r="A1" t="s">
        <v>23</v>
      </c>
      <c r="D1" t="s">
        <v>27</v>
      </c>
      <c r="E1" t="s">
        <v>24</v>
      </c>
      <c r="H1" t="s">
        <v>28</v>
      </c>
      <c r="K1" t="s">
        <v>29</v>
      </c>
      <c r="L1" t="s">
        <v>30</v>
      </c>
    </row>
    <row r="2" spans="1:12" x14ac:dyDescent="0.25">
      <c r="B2" t="s">
        <v>25</v>
      </c>
      <c r="C2" t="s">
        <v>26</v>
      </c>
    </row>
    <row r="3" spans="1:12" x14ac:dyDescent="0.25">
      <c r="A3">
        <v>2018</v>
      </c>
      <c r="B3" t="s">
        <v>12</v>
      </c>
      <c r="D3" t="s">
        <v>13</v>
      </c>
      <c r="E3" t="s">
        <v>14</v>
      </c>
      <c r="H3">
        <v>2018</v>
      </c>
      <c r="J3" t="s">
        <v>12</v>
      </c>
      <c r="K3" t="s">
        <v>13</v>
      </c>
      <c r="L3" t="s">
        <v>14</v>
      </c>
    </row>
    <row r="4" spans="1:12" x14ac:dyDescent="0.25">
      <c r="A4" t="s">
        <v>0</v>
      </c>
      <c r="B4" s="4">
        <v>7.3390000000000004</v>
      </c>
      <c r="C4" s="4">
        <v>2.0219999999999998</v>
      </c>
      <c r="D4" s="1">
        <f>B4*(1184+1083.76)+C4*(754+71.69)+(B4+C4)*(495+93.63+28.3)+4819+5.4</f>
        <v>28912.117550000003</v>
      </c>
      <c r="E4" s="1">
        <f>D4*1.21</f>
        <v>34983.6622355</v>
      </c>
      <c r="H4" s="5">
        <v>43101</v>
      </c>
      <c r="I4" s="5">
        <v>43251</v>
      </c>
      <c r="J4">
        <v>3.0000000000000001E-3</v>
      </c>
      <c r="K4">
        <v>250.02</v>
      </c>
      <c r="L4" s="6">
        <f>K4*1.21</f>
        <v>302.52420000000001</v>
      </c>
    </row>
    <row r="5" spans="1:12" x14ac:dyDescent="0.25">
      <c r="A5" t="s">
        <v>1</v>
      </c>
      <c r="B5" s="4">
        <v>5.4</v>
      </c>
      <c r="C5" s="4">
        <v>1.8740000000000001</v>
      </c>
      <c r="D5" s="1">
        <f t="shared" ref="D5:D15" si="0">B5*(1184+1083.76)+C5*(754+71.69)+(B5+C5)*(495+93.63+28.3)+4819+5.4</f>
        <v>23105.195880000003</v>
      </c>
      <c r="E5" s="1">
        <f t="shared" ref="E5:E15" si="1">D5*1.21</f>
        <v>27957.287014800004</v>
      </c>
      <c r="H5" s="5">
        <v>43252</v>
      </c>
      <c r="I5" s="5">
        <v>43465</v>
      </c>
      <c r="J5">
        <v>7.0000000000000001E-3</v>
      </c>
      <c r="K5">
        <v>362.2</v>
      </c>
      <c r="L5" s="6">
        <f>K5*1.21</f>
        <v>438.262</v>
      </c>
    </row>
    <row r="6" spans="1:12" x14ac:dyDescent="0.25">
      <c r="A6" t="s">
        <v>2</v>
      </c>
      <c r="B6" s="4">
        <v>5.6219999999999999</v>
      </c>
      <c r="C6" s="4">
        <v>2.0720000000000001</v>
      </c>
      <c r="D6" s="1">
        <f t="shared" si="0"/>
        <v>24031.235820000002</v>
      </c>
      <c r="E6" s="1">
        <f t="shared" si="1"/>
        <v>29077.795342200003</v>
      </c>
    </row>
    <row r="7" spans="1:12" x14ac:dyDescent="0.25">
      <c r="A7" t="s">
        <v>3</v>
      </c>
      <c r="B7" s="4">
        <v>4.1500000000000004</v>
      </c>
      <c r="C7" s="4">
        <v>1.4139999999999999</v>
      </c>
      <c r="D7" s="1">
        <f t="shared" si="0"/>
        <v>18835.728180000002</v>
      </c>
      <c r="E7" s="1">
        <f t="shared" si="1"/>
        <v>22791.231097800002</v>
      </c>
    </row>
    <row r="8" spans="1:12" x14ac:dyDescent="0.25">
      <c r="A8" t="s">
        <v>4</v>
      </c>
      <c r="B8" s="4">
        <v>3.5169999999999999</v>
      </c>
      <c r="C8" s="4">
        <v>1.1659999999999999</v>
      </c>
      <c r="D8" s="1">
        <f t="shared" si="0"/>
        <v>16651.949650000002</v>
      </c>
      <c r="E8" s="1">
        <f t="shared" si="1"/>
        <v>20148.859076500001</v>
      </c>
    </row>
    <row r="9" spans="1:12" x14ac:dyDescent="0.25">
      <c r="A9" t="s">
        <v>5</v>
      </c>
      <c r="B9" s="4">
        <v>3.72</v>
      </c>
      <c r="C9" s="4">
        <v>1.155</v>
      </c>
      <c r="D9" s="1">
        <f t="shared" si="0"/>
        <v>17221.672900000001</v>
      </c>
      <c r="E9" s="1">
        <f t="shared" si="1"/>
        <v>20838.224209</v>
      </c>
    </row>
    <row r="10" spans="1:12" x14ac:dyDescent="0.25">
      <c r="A10" t="s">
        <v>6</v>
      </c>
      <c r="B10" s="4">
        <v>2.1389999999999998</v>
      </c>
      <c r="C10" s="4">
        <v>0.97199999999999998</v>
      </c>
      <c r="D10" s="1">
        <f t="shared" si="0"/>
        <v>12396.978549999998</v>
      </c>
      <c r="E10" s="1">
        <f t="shared" si="1"/>
        <v>15000.344045499996</v>
      </c>
    </row>
    <row r="11" spans="1:12" x14ac:dyDescent="0.25">
      <c r="A11" t="s">
        <v>7</v>
      </c>
      <c r="B11" s="4">
        <v>2.3730000000000002</v>
      </c>
      <c r="C11" s="4">
        <v>1.006</v>
      </c>
      <c r="D11" s="1">
        <f t="shared" si="0"/>
        <v>13121.045090000001</v>
      </c>
      <c r="E11" s="1">
        <f t="shared" si="1"/>
        <v>15876.464558900001</v>
      </c>
    </row>
    <row r="12" spans="1:12" x14ac:dyDescent="0.25">
      <c r="A12" t="s">
        <v>8</v>
      </c>
      <c r="B12" s="4">
        <v>4.1719999999999997</v>
      </c>
      <c r="C12" s="4">
        <v>1.139</v>
      </c>
      <c r="D12" s="1">
        <f t="shared" si="0"/>
        <v>18502.470860000001</v>
      </c>
      <c r="E12" s="1">
        <f t="shared" si="1"/>
        <v>22387.989740600002</v>
      </c>
    </row>
    <row r="13" spans="1:12" x14ac:dyDescent="0.25">
      <c r="A13" t="s">
        <v>9</v>
      </c>
      <c r="B13" s="4">
        <v>5.7080000000000002</v>
      </c>
      <c r="C13" s="4">
        <v>1.51</v>
      </c>
      <c r="D13" s="1">
        <f t="shared" si="0"/>
        <v>23468.566720000003</v>
      </c>
      <c r="E13" s="1">
        <f t="shared" si="1"/>
        <v>28396.965731200002</v>
      </c>
    </row>
    <row r="14" spans="1:12" x14ac:dyDescent="0.25">
      <c r="A14" t="s">
        <v>10</v>
      </c>
      <c r="B14" s="4">
        <v>7.0350000000000001</v>
      </c>
      <c r="C14" s="4">
        <v>1.5740000000000001</v>
      </c>
      <c r="D14" s="1">
        <f t="shared" si="0"/>
        <v>27388.878030000003</v>
      </c>
      <c r="E14" s="1">
        <f t="shared" si="1"/>
        <v>33140.542416300006</v>
      </c>
    </row>
    <row r="15" spans="1:12" x14ac:dyDescent="0.25">
      <c r="A15" t="s">
        <v>11</v>
      </c>
      <c r="B15" s="4">
        <v>5.9409999999999998</v>
      </c>
      <c r="C15" s="4">
        <v>1.847</v>
      </c>
      <c r="D15" s="1">
        <f t="shared" si="0"/>
        <v>24626.862430000001</v>
      </c>
      <c r="E15" s="1">
        <f t="shared" si="1"/>
        <v>29798.5035403</v>
      </c>
    </row>
    <row r="16" spans="1:12" x14ac:dyDescent="0.25">
      <c r="B16" s="4">
        <f>SUM(B4:B15)</f>
        <v>57.116</v>
      </c>
      <c r="C16" s="4">
        <f>SUM(C4:C15)</f>
        <v>17.750999999999998</v>
      </c>
      <c r="D16" s="1"/>
      <c r="E16" s="4">
        <f>SUM(E4:E15)</f>
        <v>300397.86900860007</v>
      </c>
      <c r="J16" s="4">
        <f>SUM(J4:J15)</f>
        <v>0.01</v>
      </c>
      <c r="L16" s="4">
        <f>SUM(L4:L15)</f>
        <v>740.78620000000001</v>
      </c>
    </row>
    <row r="18" spans="1:12" x14ac:dyDescent="0.25">
      <c r="B18" t="s">
        <v>25</v>
      </c>
      <c r="C18" t="s">
        <v>26</v>
      </c>
    </row>
    <row r="19" spans="1:12" x14ac:dyDescent="0.25">
      <c r="A19">
        <v>2019</v>
      </c>
      <c r="B19" t="s">
        <v>12</v>
      </c>
      <c r="D19" t="s">
        <v>13</v>
      </c>
      <c r="E19" t="s">
        <v>14</v>
      </c>
      <c r="H19">
        <v>2019</v>
      </c>
      <c r="J19" t="s">
        <v>12</v>
      </c>
      <c r="K19" t="s">
        <v>13</v>
      </c>
      <c r="L19" t="s">
        <v>14</v>
      </c>
    </row>
    <row r="20" spans="1:12" x14ac:dyDescent="0.25">
      <c r="A20" t="s">
        <v>0</v>
      </c>
      <c r="B20">
        <v>6.3550000000000004</v>
      </c>
      <c r="C20">
        <v>1.907</v>
      </c>
      <c r="D20" s="1">
        <f>B20*(1743+1134.42)+C20*(1110+98.22)+(B20+C20)*(495+76.19+28.3)+5045+6.93</f>
        <v>30594.996020000006</v>
      </c>
      <c r="E20" s="1">
        <f>D20*1.21</f>
        <v>37019.945184200005</v>
      </c>
      <c r="F20">
        <f>(C20+B20)*1000</f>
        <v>8262</v>
      </c>
      <c r="H20" s="5">
        <v>43466</v>
      </c>
      <c r="I20" s="5">
        <v>43615</v>
      </c>
      <c r="J20">
        <v>1E-3</v>
      </c>
      <c r="K20">
        <f>4.92+297.73</f>
        <v>302.65000000000003</v>
      </c>
      <c r="L20" s="6">
        <f>K20*1.21</f>
        <v>366.20650000000001</v>
      </c>
    </row>
    <row r="21" spans="1:12" x14ac:dyDescent="0.25">
      <c r="A21" t="s">
        <v>1</v>
      </c>
      <c r="B21">
        <v>5.3979999999999997</v>
      </c>
      <c r="C21">
        <v>1.784</v>
      </c>
      <c r="D21" s="1">
        <f t="shared" ref="D21:D31" si="2">B21*(1743+1134.42)+C21*(1110+98.22)+(B21+C21)*(495+76.19+28.3)+5045+6.93</f>
        <v>27045.24482</v>
      </c>
      <c r="E21" s="1">
        <f t="shared" ref="E21:E31" si="3">D21*1.21</f>
        <v>32724.746232199999</v>
      </c>
      <c r="F21">
        <f t="shared" ref="F21:F31" si="4">(C21+B21)*1000</f>
        <v>7181.9999999999991</v>
      </c>
      <c r="H21" s="5">
        <v>43616</v>
      </c>
      <c r="I21" s="5">
        <v>43830</v>
      </c>
      <c r="J21">
        <v>1E-3</v>
      </c>
      <c r="K21">
        <f>4.92+421.43</f>
        <v>426.35</v>
      </c>
      <c r="L21" s="6">
        <f>K21*1.21</f>
        <v>515.88350000000003</v>
      </c>
    </row>
    <row r="22" spans="1:12" x14ac:dyDescent="0.25">
      <c r="A22" t="s">
        <v>2</v>
      </c>
      <c r="B22">
        <v>4.5229999999999997</v>
      </c>
      <c r="C22">
        <v>1.881</v>
      </c>
      <c r="D22" s="1">
        <f t="shared" si="2"/>
        <v>24178.296439999998</v>
      </c>
      <c r="E22" s="1">
        <f t="shared" si="3"/>
        <v>29255.738692399998</v>
      </c>
      <c r="F22">
        <f t="shared" si="4"/>
        <v>6404</v>
      </c>
    </row>
    <row r="23" spans="1:12" x14ac:dyDescent="0.25">
      <c r="A23" t="s">
        <v>3</v>
      </c>
      <c r="B23">
        <v>4.3090000000000002</v>
      </c>
      <c r="C23">
        <v>1.587</v>
      </c>
      <c r="D23" s="1">
        <f t="shared" si="2"/>
        <v>22902.770960000002</v>
      </c>
      <c r="E23" s="1">
        <f t="shared" si="3"/>
        <v>27712.3528616</v>
      </c>
      <c r="F23">
        <f t="shared" si="4"/>
        <v>5896</v>
      </c>
    </row>
    <row r="24" spans="1:12" x14ac:dyDescent="0.25">
      <c r="A24" t="s">
        <v>4</v>
      </c>
      <c r="B24">
        <v>5.4279999999999999</v>
      </c>
      <c r="C24">
        <v>1.857</v>
      </c>
      <c r="D24" s="1">
        <f t="shared" si="2"/>
        <v>27281.514950000004</v>
      </c>
      <c r="E24" s="1">
        <f t="shared" si="3"/>
        <v>33010.633089500006</v>
      </c>
      <c r="F24">
        <f t="shared" si="4"/>
        <v>7285</v>
      </c>
    </row>
    <row r="25" spans="1:12" x14ac:dyDescent="0.25">
      <c r="A25" t="s">
        <v>5</v>
      </c>
      <c r="B25">
        <v>5.2320000000000002</v>
      </c>
      <c r="C25">
        <v>1.665</v>
      </c>
      <c r="D25" s="1">
        <f t="shared" si="2"/>
        <v>26252.960270000003</v>
      </c>
      <c r="E25" s="1">
        <f t="shared" si="3"/>
        <v>31766.081926700004</v>
      </c>
      <c r="F25">
        <f t="shared" si="4"/>
        <v>6897</v>
      </c>
    </row>
    <row r="26" spans="1:12" x14ac:dyDescent="0.25">
      <c r="A26" t="s">
        <v>6</v>
      </c>
      <c r="B26">
        <v>3.0939999999999999</v>
      </c>
      <c r="C26">
        <v>1.2569999999999999</v>
      </c>
      <c r="D26" s="1">
        <f t="shared" si="2"/>
        <v>18081.781009999999</v>
      </c>
      <c r="E26" s="1">
        <f t="shared" si="3"/>
        <v>21878.955022099999</v>
      </c>
      <c r="F26">
        <f t="shared" si="4"/>
        <v>4351</v>
      </c>
    </row>
    <row r="27" spans="1:12" x14ac:dyDescent="0.25">
      <c r="A27" t="s">
        <v>7</v>
      </c>
      <c r="B27">
        <v>4.0140000000000002</v>
      </c>
      <c r="C27">
        <v>1.8280000000000001</v>
      </c>
      <c r="D27" s="1">
        <f t="shared" si="2"/>
        <v>22312.74062</v>
      </c>
      <c r="E27" s="1">
        <f t="shared" si="3"/>
        <v>26998.416150199999</v>
      </c>
      <c r="F27">
        <f t="shared" si="4"/>
        <v>5842.0000000000009</v>
      </c>
    </row>
    <row r="28" spans="1:12" x14ac:dyDescent="0.25">
      <c r="A28" t="s">
        <v>8</v>
      </c>
      <c r="B28">
        <v>5.1689999999999996</v>
      </c>
      <c r="C28">
        <v>1.385</v>
      </c>
      <c r="D28" s="1">
        <f t="shared" si="2"/>
        <v>25527.756139999998</v>
      </c>
      <c r="E28" s="1">
        <f t="shared" si="3"/>
        <v>30888.584929399996</v>
      </c>
      <c r="F28">
        <f t="shared" si="4"/>
        <v>6553.9999999999991</v>
      </c>
    </row>
    <row r="29" spans="1:12" x14ac:dyDescent="0.25">
      <c r="A29" t="s">
        <v>9</v>
      </c>
      <c r="B29">
        <v>5.9589999999999996</v>
      </c>
      <c r="C29">
        <v>1.45</v>
      </c>
      <c r="D29" s="1">
        <f t="shared" si="2"/>
        <v>28392.016190000002</v>
      </c>
      <c r="E29" s="1">
        <f t="shared" si="3"/>
        <v>34354.339589900002</v>
      </c>
      <c r="F29">
        <f t="shared" si="4"/>
        <v>7409</v>
      </c>
    </row>
    <row r="30" spans="1:12" x14ac:dyDescent="0.25">
      <c r="A30" t="s">
        <v>10</v>
      </c>
      <c r="B30">
        <v>7.2370000000000001</v>
      </c>
      <c r="C30">
        <v>1.5860000000000001</v>
      </c>
      <c r="D30" s="1">
        <f t="shared" si="2"/>
        <v>33081.355730000003</v>
      </c>
      <c r="E30" s="1">
        <f t="shared" si="3"/>
        <v>40028.440433300006</v>
      </c>
      <c r="F30">
        <f t="shared" si="4"/>
        <v>8823</v>
      </c>
    </row>
    <row r="31" spans="1:12" x14ac:dyDescent="0.25">
      <c r="A31" t="s">
        <v>11</v>
      </c>
      <c r="B31">
        <v>6.4390000000000001</v>
      </c>
      <c r="C31">
        <v>1.6950000000000001</v>
      </c>
      <c r="D31" s="1">
        <f t="shared" si="2"/>
        <v>30503.821940000002</v>
      </c>
      <c r="E31" s="1">
        <f t="shared" si="3"/>
        <v>36909.624547400002</v>
      </c>
      <c r="F31">
        <f t="shared" si="4"/>
        <v>8134</v>
      </c>
    </row>
    <row r="32" spans="1:12" x14ac:dyDescent="0.25">
      <c r="B32" s="4">
        <f>SUM(B20:B31)</f>
        <v>63.156999999999996</v>
      </c>
      <c r="C32" s="4">
        <f>SUM(C20:C31)</f>
        <v>19.881999999999998</v>
      </c>
      <c r="D32" s="1"/>
      <c r="E32" s="4">
        <f>SUM(E20:E31)</f>
        <v>382547.85865890002</v>
      </c>
      <c r="J32" s="4">
        <f>SUM(J20:J31)</f>
        <v>2E-3</v>
      </c>
      <c r="L32" s="4">
        <f>SUM(L20:L31)</f>
        <v>882.09</v>
      </c>
    </row>
    <row r="34" spans="1:12" x14ac:dyDescent="0.25">
      <c r="B34" t="s">
        <v>25</v>
      </c>
      <c r="C34" t="s">
        <v>26</v>
      </c>
    </row>
    <row r="35" spans="1:12" x14ac:dyDescent="0.25">
      <c r="A35">
        <v>2020</v>
      </c>
      <c r="B35" t="s">
        <v>12</v>
      </c>
      <c r="D35" t="s">
        <v>13</v>
      </c>
      <c r="E35" t="s">
        <v>14</v>
      </c>
      <c r="H35">
        <v>2020</v>
      </c>
      <c r="J35" t="s">
        <v>12</v>
      </c>
      <c r="K35" t="s">
        <v>13</v>
      </c>
      <c r="L35" t="s">
        <v>14</v>
      </c>
    </row>
    <row r="36" spans="1:12" x14ac:dyDescent="0.25">
      <c r="A36" t="s">
        <v>0</v>
      </c>
      <c r="B36">
        <v>7.0519999999999996</v>
      </c>
      <c r="C36">
        <v>1.681</v>
      </c>
      <c r="D36" s="1">
        <f t="shared" ref="D36:D47" si="5">B36*(1564+1148.99)+C36*(1302+134.56)+(B36+C36)*(495+77.12+28.3)+5112+5.08</f>
        <v>31907.410699999997</v>
      </c>
      <c r="E36" s="1">
        <f>D36*1.21</f>
        <v>38607.966946999994</v>
      </c>
      <c r="H36" s="5">
        <v>43831</v>
      </c>
      <c r="I36" s="5">
        <v>43976</v>
      </c>
      <c r="J36">
        <v>8.9999999999999993E-3</v>
      </c>
      <c r="K36">
        <v>390.93</v>
      </c>
      <c r="L36" s="6">
        <f>K36*1.21</f>
        <v>473.02530000000002</v>
      </c>
    </row>
    <row r="37" spans="1:12" x14ac:dyDescent="0.25">
      <c r="A37" t="s">
        <v>1</v>
      </c>
      <c r="B37">
        <v>6.5350000000000001</v>
      </c>
      <c r="C37">
        <v>1.512</v>
      </c>
      <c r="D37" s="1">
        <f t="shared" si="5"/>
        <v>29850.128110000001</v>
      </c>
      <c r="E37" s="1">
        <f t="shared" ref="E37:E47" si="6">D37*1.21</f>
        <v>36118.655013100004</v>
      </c>
      <c r="H37" s="5">
        <v>43977</v>
      </c>
      <c r="I37" s="5">
        <v>44196</v>
      </c>
      <c r="J37">
        <v>1.7000000000000001E-2</v>
      </c>
      <c r="K37">
        <v>602.65</v>
      </c>
      <c r="L37" s="6">
        <f>K37*1.21</f>
        <v>729.20650000000001</v>
      </c>
    </row>
    <row r="38" spans="1:12" x14ac:dyDescent="0.25">
      <c r="A38" t="s">
        <v>2</v>
      </c>
      <c r="B38">
        <v>4.0469999999999997</v>
      </c>
      <c r="C38">
        <v>1.524</v>
      </c>
      <c r="D38" s="1">
        <f t="shared" si="5"/>
        <v>21630.807789999999</v>
      </c>
      <c r="E38" s="1">
        <f t="shared" si="6"/>
        <v>26173.277425899996</v>
      </c>
    </row>
    <row r="39" spans="1:12" x14ac:dyDescent="0.25">
      <c r="A39" t="s">
        <v>3</v>
      </c>
      <c r="B39">
        <v>3.6349999999999998</v>
      </c>
      <c r="C39">
        <v>1.73</v>
      </c>
      <c r="D39" s="1">
        <f t="shared" si="5"/>
        <v>20685.300750000002</v>
      </c>
      <c r="E39" s="1">
        <f t="shared" si="6"/>
        <v>25029.213907500001</v>
      </c>
    </row>
    <row r="40" spans="1:12" x14ac:dyDescent="0.25">
      <c r="A40" t="s">
        <v>4</v>
      </c>
      <c r="B40">
        <v>3.331</v>
      </c>
      <c r="C40">
        <v>1.44</v>
      </c>
      <c r="D40" s="1">
        <f t="shared" si="5"/>
        <v>19087.299910000002</v>
      </c>
      <c r="E40" s="1">
        <f t="shared" si="6"/>
        <v>23095.632891100002</v>
      </c>
    </row>
    <row r="41" spans="1:12" x14ac:dyDescent="0.25">
      <c r="A41" t="s">
        <v>5</v>
      </c>
      <c r="B41">
        <v>3.1219999999999999</v>
      </c>
      <c r="C41">
        <v>1.1850000000000001</v>
      </c>
      <c r="D41" s="1">
        <f t="shared" si="5"/>
        <v>17875.367319999998</v>
      </c>
      <c r="E41" s="1">
        <f t="shared" si="6"/>
        <v>21629.194457199996</v>
      </c>
    </row>
    <row r="42" spans="1:12" x14ac:dyDescent="0.25">
      <c r="A42" t="s">
        <v>6</v>
      </c>
      <c r="B42">
        <v>2.5289999999999999</v>
      </c>
      <c r="C42">
        <v>1.095</v>
      </c>
      <c r="D42" s="1">
        <f t="shared" si="5"/>
        <v>15727.18699</v>
      </c>
      <c r="E42" s="1">
        <f t="shared" si="6"/>
        <v>19029.8962579</v>
      </c>
    </row>
    <row r="43" spans="1:12" x14ac:dyDescent="0.25">
      <c r="A43" t="s">
        <v>7</v>
      </c>
      <c r="B43">
        <v>2.883</v>
      </c>
      <c r="C43">
        <v>1.226</v>
      </c>
      <c r="D43" s="1">
        <f t="shared" si="5"/>
        <v>17166.978510000001</v>
      </c>
      <c r="E43" s="1">
        <f t="shared" si="6"/>
        <v>20772.043997100001</v>
      </c>
    </row>
    <row r="44" spans="1:12" x14ac:dyDescent="0.25">
      <c r="A44" t="s">
        <v>8</v>
      </c>
      <c r="B44">
        <v>5.3019999999999996</v>
      </c>
      <c r="C44">
        <v>1.345</v>
      </c>
      <c r="D44" s="1">
        <f t="shared" si="5"/>
        <v>25424.517919999998</v>
      </c>
      <c r="E44" s="1">
        <f t="shared" si="6"/>
        <v>30763.666683199997</v>
      </c>
    </row>
    <row r="45" spans="1:12" x14ac:dyDescent="0.25">
      <c r="A45" t="s">
        <v>9</v>
      </c>
      <c r="B45">
        <v>4.6390000000000002</v>
      </c>
      <c r="C45">
        <v>1.696</v>
      </c>
      <c r="D45" s="1">
        <f t="shared" si="5"/>
        <v>23942.70707</v>
      </c>
      <c r="E45" s="1">
        <f t="shared" si="6"/>
        <v>28970.675554699999</v>
      </c>
    </row>
    <row r="46" spans="1:12" x14ac:dyDescent="0.25">
      <c r="A46" t="s">
        <v>10</v>
      </c>
      <c r="B46">
        <v>5.0970000000000004</v>
      </c>
      <c r="C46">
        <v>1.764</v>
      </c>
      <c r="D46" s="1">
        <f t="shared" si="5"/>
        <v>25598.763490000005</v>
      </c>
      <c r="E46" s="1">
        <f t="shared" si="6"/>
        <v>30974.503822900006</v>
      </c>
    </row>
    <row r="47" spans="1:12" x14ac:dyDescent="0.25">
      <c r="A47" t="s">
        <v>11</v>
      </c>
      <c r="B47">
        <v>5.81</v>
      </c>
      <c r="C47">
        <v>1.8660000000000001</v>
      </c>
      <c r="D47" s="1">
        <f t="shared" si="5"/>
        <v>28168.996779999998</v>
      </c>
      <c r="E47" s="1">
        <f t="shared" si="6"/>
        <v>34084.486103799994</v>
      </c>
    </row>
    <row r="48" spans="1:12" x14ac:dyDescent="0.25">
      <c r="B48" s="4">
        <f>SUM(B36:B47)</f>
        <v>53.982000000000006</v>
      </c>
      <c r="C48" s="4">
        <f>SUM(C36:C47)</f>
        <v>18.064</v>
      </c>
      <c r="D48" s="1"/>
      <c r="E48" s="4">
        <f>SUM(E36:E47)</f>
        <v>335249.21306139999</v>
      </c>
      <c r="J48" s="4">
        <f>SUM(J36:J47)</f>
        <v>2.6000000000000002E-2</v>
      </c>
      <c r="L48" s="4">
        <f>SUM(L36:L47)</f>
        <v>1202.2318</v>
      </c>
    </row>
    <row r="50" spans="1:3" x14ac:dyDescent="0.25">
      <c r="B50" t="s">
        <v>45</v>
      </c>
      <c r="C50" t="s">
        <v>14</v>
      </c>
    </row>
    <row r="51" spans="1:3" x14ac:dyDescent="0.25">
      <c r="A51">
        <v>2018</v>
      </c>
      <c r="B51" s="2">
        <f>(B16+C16+J16)*1000</f>
        <v>74877</v>
      </c>
      <c r="C51" s="1">
        <f>E16+L16</f>
        <v>301138.65520860004</v>
      </c>
    </row>
    <row r="52" spans="1:3" x14ac:dyDescent="0.25">
      <c r="A52">
        <v>2019</v>
      </c>
      <c r="B52" s="2">
        <f>(B32+C32+J32)*1000</f>
        <v>83040.999999999985</v>
      </c>
      <c r="C52" s="1">
        <f>E32+L32</f>
        <v>383429.94865890004</v>
      </c>
    </row>
    <row r="53" spans="1:3" x14ac:dyDescent="0.25">
      <c r="A53">
        <v>2020</v>
      </c>
      <c r="B53" s="2">
        <f>(B48+C48+J48)*1000</f>
        <v>72072</v>
      </c>
      <c r="C53" s="1">
        <f>E48+L48</f>
        <v>336451.4448614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opLeftCell="A19" workbookViewId="0">
      <selection activeCell="D57" sqref="D57"/>
    </sheetView>
  </sheetViews>
  <sheetFormatPr defaultRowHeight="15" x14ac:dyDescent="0.25"/>
  <cols>
    <col min="3" max="3" width="11.42578125" bestFit="1" customWidth="1"/>
    <col min="4" max="4" width="10.7109375" bestFit="1" customWidth="1"/>
    <col min="5" max="5" width="10" bestFit="1" customWidth="1"/>
    <col min="11" max="11" width="10" bestFit="1" customWidth="1"/>
  </cols>
  <sheetData>
    <row r="1" spans="1:16" x14ac:dyDescent="0.25">
      <c r="A1" t="s">
        <v>43</v>
      </c>
      <c r="D1" s="3" t="s">
        <v>22</v>
      </c>
      <c r="F1" t="s">
        <v>20</v>
      </c>
    </row>
    <row r="2" spans="1:16" x14ac:dyDescent="0.25">
      <c r="A2">
        <v>2018</v>
      </c>
      <c r="B2" t="s">
        <v>15</v>
      </c>
      <c r="C2" t="s">
        <v>12</v>
      </c>
      <c r="D2" t="s">
        <v>13</v>
      </c>
      <c r="E2" t="s">
        <v>14</v>
      </c>
      <c r="F2">
        <v>542942</v>
      </c>
      <c r="H2" t="s">
        <v>16</v>
      </c>
      <c r="I2" t="s">
        <v>17</v>
      </c>
      <c r="J2" t="s">
        <v>18</v>
      </c>
      <c r="K2" t="s">
        <v>19</v>
      </c>
    </row>
    <row r="3" spans="1:16" x14ac:dyDescent="0.25">
      <c r="A3" t="s">
        <v>0</v>
      </c>
      <c r="B3" s="2">
        <f>(F3-F2)*1.0156</f>
        <v>27824.393200000002</v>
      </c>
      <c r="C3">
        <f>B3*10.6417/1000</f>
        <v>296.09884511644003</v>
      </c>
      <c r="D3" s="1">
        <f>H3+I3+J3+K3</f>
        <v>192517.84659959411</v>
      </c>
      <c r="E3" s="1">
        <f>D3*1.21</f>
        <v>232946.59438550886</v>
      </c>
      <c r="F3">
        <v>570339</v>
      </c>
      <c r="H3" s="1">
        <f>30.6*C3</f>
        <v>9060.6246605630658</v>
      </c>
      <c r="I3" s="1">
        <f>44.47*C3+226318.94/12*1.82199</f>
        <v>47530.086099878084</v>
      </c>
      <c r="J3" s="1">
        <f>2.06*C3</f>
        <v>609.96362093986647</v>
      </c>
      <c r="K3" s="1">
        <f>457*C3</f>
        <v>135317.17221821309</v>
      </c>
      <c r="M3" s="1"/>
      <c r="N3" s="1"/>
      <c r="O3" s="1"/>
      <c r="P3" s="1"/>
    </row>
    <row r="4" spans="1:16" x14ac:dyDescent="0.25">
      <c r="A4" t="s">
        <v>1</v>
      </c>
      <c r="B4" s="2">
        <f t="shared" ref="B4:B13" si="0">(F4-F3)*1.0156</f>
        <v>25981.0792</v>
      </c>
      <c r="C4">
        <f>B4*10.6401/1000</f>
        <v>276.44128079592002</v>
      </c>
      <c r="D4" s="1">
        <f t="shared" ref="D4:D14" si="1">H4+I4+J4+K4</f>
        <v>182018.15176907476</v>
      </c>
      <c r="E4" s="1">
        <f t="shared" ref="E4:E14" si="2">D4*1.21</f>
        <v>220241.96364058045</v>
      </c>
      <c r="F4">
        <v>595921</v>
      </c>
      <c r="H4" s="1">
        <f t="shared" ref="H4:H14" si="3">30.6*C4</f>
        <v>8459.1031923551527</v>
      </c>
      <c r="I4" s="1">
        <f t="shared" ref="I4:I14" si="4">44.47*C4+226318.94/12*1.82199</f>
        <v>46655.914214544566</v>
      </c>
      <c r="J4" s="1">
        <f t="shared" ref="J4:J14" si="5">2.06*C4</f>
        <v>569.46903843959524</v>
      </c>
      <c r="K4" s="1">
        <f t="shared" ref="K4:K14" si="6">457*C4</f>
        <v>126333.66532373545</v>
      </c>
      <c r="M4" s="1"/>
      <c r="N4" s="1"/>
      <c r="O4" s="1"/>
      <c r="P4" s="1"/>
    </row>
    <row r="5" spans="1:16" x14ac:dyDescent="0.25">
      <c r="A5" t="s">
        <v>2</v>
      </c>
      <c r="B5" s="2">
        <f t="shared" si="0"/>
        <v>26544.737200000003</v>
      </c>
      <c r="C5">
        <f>B5*10.6383/1000</f>
        <v>282.39087775476003</v>
      </c>
      <c r="D5" s="1">
        <f t="shared" si="1"/>
        <v>185196.00999269995</v>
      </c>
      <c r="E5" s="1">
        <f t="shared" si="2"/>
        <v>224087.17209116693</v>
      </c>
      <c r="F5">
        <v>622058</v>
      </c>
      <c r="H5" s="1">
        <f t="shared" si="3"/>
        <v>8641.1608592956563</v>
      </c>
      <c r="I5" s="1">
        <f t="shared" si="4"/>
        <v>46920.492791304176</v>
      </c>
      <c r="J5" s="1">
        <f t="shared" si="5"/>
        <v>581.72520817480563</v>
      </c>
      <c r="K5" s="1">
        <f t="shared" si="6"/>
        <v>129052.63113392533</v>
      </c>
      <c r="M5" s="1"/>
      <c r="N5" s="1"/>
      <c r="O5" s="1"/>
      <c r="P5" s="1"/>
    </row>
    <row r="6" spans="1:16" x14ac:dyDescent="0.25">
      <c r="A6" t="s">
        <v>3</v>
      </c>
      <c r="B6" s="2">
        <f>(625308-F5+F6-86248)*1.0156</f>
        <v>3749.5952000000002</v>
      </c>
      <c r="C6">
        <f>B6*10.635/1000</f>
        <v>39.876944951999995</v>
      </c>
      <c r="D6" s="1">
        <f t="shared" si="1"/>
        <v>55662.043064761761</v>
      </c>
      <c r="E6" s="1">
        <f t="shared" si="2"/>
        <v>67351.072108361725</v>
      </c>
      <c r="F6">
        <v>86690</v>
      </c>
      <c r="H6" s="1">
        <f t="shared" si="3"/>
        <v>1220.2345155311998</v>
      </c>
      <c r="I6" s="1">
        <f t="shared" si="4"/>
        <v>36135.898199565439</v>
      </c>
      <c r="J6" s="1">
        <f t="shared" si="5"/>
        <v>82.146506601119995</v>
      </c>
      <c r="K6" s="1">
        <f t="shared" si="6"/>
        <v>18223.763843063996</v>
      </c>
      <c r="M6" s="1"/>
      <c r="N6" s="1"/>
      <c r="O6" s="1"/>
      <c r="P6" s="1"/>
    </row>
    <row r="7" spans="1:16" x14ac:dyDescent="0.25">
      <c r="A7" t="s">
        <v>4</v>
      </c>
      <c r="B7" s="2">
        <f t="shared" si="0"/>
        <v>705.84199999999998</v>
      </c>
      <c r="C7">
        <f>B7*10.6471/1000</f>
        <v>7.5151703581999998</v>
      </c>
      <c r="D7" s="1">
        <f t="shared" si="1"/>
        <v>38376.648400975362</v>
      </c>
      <c r="E7" s="1">
        <f t="shared" si="2"/>
        <v>46435.74456518019</v>
      </c>
      <c r="F7">
        <v>87385</v>
      </c>
      <c r="H7" s="1">
        <f t="shared" si="3"/>
        <v>229.96421296092001</v>
      </c>
      <c r="I7" s="1">
        <f t="shared" si="4"/>
        <v>34696.770083379153</v>
      </c>
      <c r="J7" s="1">
        <f t="shared" si="5"/>
        <v>15.481250937892</v>
      </c>
      <c r="K7" s="1">
        <f t="shared" si="6"/>
        <v>3434.4328536973999</v>
      </c>
      <c r="M7" s="1"/>
      <c r="N7" s="1"/>
      <c r="O7" s="1"/>
      <c r="P7" s="1"/>
    </row>
    <row r="8" spans="1:16" x14ac:dyDescent="0.25">
      <c r="A8" t="s">
        <v>5</v>
      </c>
      <c r="B8" s="2">
        <f t="shared" si="0"/>
        <v>695.68600000000004</v>
      </c>
      <c r="C8">
        <f>B8*10.6673/1000</f>
        <v>7.4210912677999996</v>
      </c>
      <c r="D8" s="1">
        <f t="shared" si="1"/>
        <v>38326.397936420013</v>
      </c>
      <c r="E8" s="1">
        <f t="shared" si="2"/>
        <v>46374.941503068214</v>
      </c>
      <c r="F8">
        <v>88070</v>
      </c>
      <c r="H8" s="1">
        <f t="shared" si="3"/>
        <v>227.08539279467999</v>
      </c>
      <c r="I8" s="1">
        <f t="shared" si="4"/>
        <v>34692.586386229064</v>
      </c>
      <c r="J8" s="1">
        <f t="shared" si="5"/>
        <v>15.287448011667999</v>
      </c>
      <c r="K8" s="1">
        <f t="shared" si="6"/>
        <v>3391.4387093845999</v>
      </c>
      <c r="M8" s="1"/>
      <c r="N8" s="1"/>
      <c r="O8" s="1"/>
      <c r="P8" s="1"/>
    </row>
    <row r="9" spans="1:16" x14ac:dyDescent="0.25">
      <c r="A9" t="s">
        <v>6</v>
      </c>
      <c r="B9" s="2">
        <f t="shared" si="0"/>
        <v>730.21640000000002</v>
      </c>
      <c r="C9">
        <f>B9*10.666/1000</f>
        <v>7.7884881224000004</v>
      </c>
      <c r="D9" s="1">
        <f t="shared" si="1"/>
        <v>38522.635618367516</v>
      </c>
      <c r="E9" s="1">
        <f t="shared" si="2"/>
        <v>46612.389098224696</v>
      </c>
      <c r="F9">
        <v>88789</v>
      </c>
      <c r="H9" s="1">
        <f t="shared" si="3"/>
        <v>238.32773654544002</v>
      </c>
      <c r="I9" s="1">
        <f t="shared" si="4"/>
        <v>34708.924524353126</v>
      </c>
      <c r="J9" s="1">
        <f t="shared" si="5"/>
        <v>16.044285532144002</v>
      </c>
      <c r="K9" s="1">
        <f t="shared" si="6"/>
        <v>3559.3390719368003</v>
      </c>
      <c r="M9" s="1"/>
      <c r="N9" s="1"/>
      <c r="O9" s="1"/>
      <c r="P9" s="1"/>
    </row>
    <row r="10" spans="1:16" x14ac:dyDescent="0.25">
      <c r="A10" t="s">
        <v>7</v>
      </c>
      <c r="B10" s="2">
        <f t="shared" si="0"/>
        <v>706.85760000000005</v>
      </c>
      <c r="C10">
        <f>B10*10.6722/1000</f>
        <v>7.5437256787200004</v>
      </c>
      <c r="D10" s="1">
        <f t="shared" si="1"/>
        <v>38391.900654324709</v>
      </c>
      <c r="E10" s="1">
        <f t="shared" si="2"/>
        <v>46454.199791732899</v>
      </c>
      <c r="F10">
        <v>89485</v>
      </c>
      <c r="H10" s="1">
        <f t="shared" si="3"/>
        <v>230.83800576883203</v>
      </c>
      <c r="I10" s="1">
        <f t="shared" si="4"/>
        <v>34698.039938482674</v>
      </c>
      <c r="J10" s="1">
        <f t="shared" si="5"/>
        <v>15.540074898163201</v>
      </c>
      <c r="K10" s="1">
        <f t="shared" si="6"/>
        <v>3447.4826351750403</v>
      </c>
      <c r="M10" s="1"/>
      <c r="N10" s="1"/>
      <c r="O10" s="1"/>
      <c r="P10" s="1"/>
    </row>
    <row r="11" spans="1:16" x14ac:dyDescent="0.25">
      <c r="A11" t="s">
        <v>8</v>
      </c>
      <c r="B11" s="2">
        <f t="shared" si="0"/>
        <v>1329.4204</v>
      </c>
      <c r="C11">
        <f>B11*10.6804/1000</f>
        <v>14.19874164016</v>
      </c>
      <c r="D11" s="1">
        <f t="shared" si="1"/>
        <v>41946.544329808661</v>
      </c>
      <c r="E11" s="1">
        <f t="shared" si="2"/>
        <v>50755.318639068479</v>
      </c>
      <c r="F11">
        <v>90794</v>
      </c>
      <c r="H11" s="1">
        <f t="shared" si="3"/>
        <v>434.48149418889602</v>
      </c>
      <c r="I11" s="1">
        <f t="shared" si="4"/>
        <v>34993.988498287916</v>
      </c>
      <c r="J11" s="1">
        <f t="shared" si="5"/>
        <v>29.249407778729601</v>
      </c>
      <c r="K11" s="1">
        <f t="shared" si="6"/>
        <v>6488.8249295531195</v>
      </c>
      <c r="M11" s="1"/>
      <c r="N11" s="1"/>
      <c r="O11" s="1"/>
      <c r="P11" s="1"/>
    </row>
    <row r="12" spans="1:16" x14ac:dyDescent="0.25">
      <c r="A12" t="s">
        <v>9</v>
      </c>
      <c r="B12" s="2">
        <f t="shared" si="0"/>
        <v>8893.6092000000008</v>
      </c>
      <c r="C12">
        <f>B12*10.6598/1000</f>
        <v>94.804095350160011</v>
      </c>
      <c r="D12" s="1">
        <f t="shared" si="1"/>
        <v>85000.281906930963</v>
      </c>
      <c r="E12" s="1">
        <f t="shared" si="2"/>
        <v>102850.34110738646</v>
      </c>
      <c r="F12">
        <v>99551</v>
      </c>
      <c r="H12" s="1">
        <f t="shared" si="3"/>
        <v>2901.0053177148966</v>
      </c>
      <c r="I12" s="1">
        <f t="shared" si="4"/>
        <v>38578.508577771616</v>
      </c>
      <c r="J12" s="1">
        <f t="shared" si="5"/>
        <v>195.29643642132962</v>
      </c>
      <c r="K12" s="1">
        <f t="shared" si="6"/>
        <v>43325.471575023126</v>
      </c>
      <c r="M12" s="1"/>
      <c r="N12" s="1"/>
      <c r="O12" s="1"/>
      <c r="P12" s="1"/>
    </row>
    <row r="13" spans="1:16" x14ac:dyDescent="0.25">
      <c r="A13" t="s">
        <v>10</v>
      </c>
      <c r="B13" s="2">
        <f t="shared" si="0"/>
        <v>20461.2932</v>
      </c>
      <c r="C13">
        <f>B13*10.6593/1000</f>
        <v>218.10306260676001</v>
      </c>
      <c r="D13" s="1">
        <f t="shared" si="1"/>
        <v>150857.95928769873</v>
      </c>
      <c r="E13" s="1">
        <f t="shared" si="2"/>
        <v>182538.13073811546</v>
      </c>
      <c r="F13">
        <v>119698</v>
      </c>
      <c r="H13" s="1">
        <f t="shared" si="3"/>
        <v>6673.9537157668565</v>
      </c>
      <c r="I13" s="1">
        <f t="shared" si="4"/>
        <v>44061.613651672618</v>
      </c>
      <c r="J13" s="1">
        <f t="shared" si="5"/>
        <v>449.29230896992561</v>
      </c>
      <c r="K13" s="1">
        <f t="shared" si="6"/>
        <v>99673.099611289319</v>
      </c>
      <c r="M13" s="1"/>
      <c r="N13" s="1"/>
      <c r="O13" s="1"/>
      <c r="P13" s="1"/>
    </row>
    <row r="14" spans="1:16" x14ac:dyDescent="0.25">
      <c r="A14" t="s">
        <v>11</v>
      </c>
      <c r="B14" s="2">
        <f>(F14-F13)*1.0156</f>
        <v>28498.751600000003</v>
      </c>
      <c r="C14">
        <f>B14*10.6673/1000</f>
        <v>304.00473294267999</v>
      </c>
      <c r="D14" s="1">
        <f t="shared" si="1"/>
        <v>196740.61846422366</v>
      </c>
      <c r="E14" s="1">
        <f t="shared" si="2"/>
        <v>238056.14834171062</v>
      </c>
      <c r="F14">
        <v>147759</v>
      </c>
      <c r="H14" s="1">
        <f t="shared" si="3"/>
        <v>9302.5448280460078</v>
      </c>
      <c r="I14" s="1">
        <f t="shared" si="4"/>
        <v>47881.660931510982</v>
      </c>
      <c r="J14" s="1">
        <f t="shared" si="5"/>
        <v>626.2497498619208</v>
      </c>
      <c r="K14" s="1">
        <f t="shared" si="6"/>
        <v>138930.16295480475</v>
      </c>
      <c r="M14" s="1"/>
      <c r="N14" s="1"/>
      <c r="O14" s="1"/>
      <c r="P14" s="1"/>
    </row>
    <row r="15" spans="1:16" x14ac:dyDescent="0.25">
      <c r="H15" s="1"/>
      <c r="I15" s="1"/>
      <c r="J15" s="1"/>
      <c r="K15" s="1"/>
      <c r="M15" s="1"/>
      <c r="N15" s="1"/>
      <c r="O15" s="1"/>
      <c r="P15" s="1"/>
    </row>
    <row r="18" spans="1:16" x14ac:dyDescent="0.25">
      <c r="A18" t="s">
        <v>43</v>
      </c>
      <c r="F18" t="s">
        <v>20</v>
      </c>
    </row>
    <row r="19" spans="1:16" x14ac:dyDescent="0.25">
      <c r="A19">
        <v>2019</v>
      </c>
      <c r="B19" t="s">
        <v>15</v>
      </c>
      <c r="C19" t="s">
        <v>12</v>
      </c>
      <c r="D19" t="s">
        <v>13</v>
      </c>
      <c r="E19" t="s">
        <v>14</v>
      </c>
      <c r="F19">
        <f>F14</f>
        <v>147759</v>
      </c>
      <c r="H19" t="s">
        <v>16</v>
      </c>
      <c r="I19" t="s">
        <v>17</v>
      </c>
      <c r="J19" t="s">
        <v>18</v>
      </c>
      <c r="K19" t="s">
        <v>19</v>
      </c>
    </row>
    <row r="20" spans="1:16" x14ac:dyDescent="0.25">
      <c r="A20" t="s">
        <v>0</v>
      </c>
      <c r="B20" s="2">
        <f>(F20-F19)*1.0156</f>
        <v>29917.544800000003</v>
      </c>
      <c r="C20">
        <f>B20*10.679/1000</f>
        <v>319.48946091920004</v>
      </c>
      <c r="D20" s="1">
        <f>H20+I20+J20+K20</f>
        <v>259052.81123097602</v>
      </c>
      <c r="E20" s="1">
        <f>D20*1.21</f>
        <v>313453.90158948099</v>
      </c>
      <c r="F20">
        <v>177217</v>
      </c>
      <c r="H20" s="1">
        <f>30.6*C20</f>
        <v>9776.3775041275221</v>
      </c>
      <c r="I20" s="1">
        <f>42.69*C20+228097.4/12*1.36975</f>
        <v>39675.37289080731</v>
      </c>
      <c r="J20" s="1">
        <f>2.05*C20</f>
        <v>654.95339488436002</v>
      </c>
      <c r="K20" s="1">
        <f>654*C20</f>
        <v>208946.10744115684</v>
      </c>
      <c r="M20" s="1"/>
      <c r="N20" s="1"/>
      <c r="O20" s="1"/>
      <c r="P20" s="1"/>
    </row>
    <row r="21" spans="1:16" x14ac:dyDescent="0.25">
      <c r="A21" t="s">
        <v>1</v>
      </c>
      <c r="B21" s="2">
        <f t="shared" ref="B21:B31" si="7">(F21-F20)*1.0156</f>
        <v>25172.661600000003</v>
      </c>
      <c r="C21">
        <f>B21*10.6696/1000</f>
        <v>268.58223020736006</v>
      </c>
      <c r="D21" s="1">
        <f t="shared" ref="D21:D30" si="8">H21+I21+J21+K21</f>
        <v>221924.13158360263</v>
      </c>
      <c r="E21" s="1">
        <f t="shared" ref="E21:E31" si="9">D21*1.21</f>
        <v>268528.19921615918</v>
      </c>
      <c r="F21">
        <v>202003</v>
      </c>
      <c r="H21" s="1">
        <f t="shared" ref="H21:H31" si="10">30.6*C21</f>
        <v>8218.6162443452176</v>
      </c>
      <c r="I21" s="1">
        <f t="shared" ref="I21:I31" si="11">42.69*C21+228097.4/12*1.36975</f>
        <v>37502.143211718867</v>
      </c>
      <c r="J21" s="1">
        <f t="shared" ref="J21:J31" si="12">2.05*C21</f>
        <v>550.5935719250881</v>
      </c>
      <c r="K21" s="1">
        <f t="shared" ref="K21:K31" si="13">654*C21</f>
        <v>175652.77855561348</v>
      </c>
      <c r="M21" s="1"/>
      <c r="N21" s="1"/>
      <c r="O21" s="1"/>
      <c r="P21" s="1"/>
    </row>
    <row r="22" spans="1:16" x14ac:dyDescent="0.25">
      <c r="A22" t="s">
        <v>2</v>
      </c>
      <c r="B22" s="2">
        <f t="shared" si="7"/>
        <v>16255.693600000001</v>
      </c>
      <c r="C22">
        <f>B22*10.6577/1000</f>
        <v>173.24830568072002</v>
      </c>
      <c r="D22" s="1">
        <f t="shared" si="8"/>
        <v>152393.287069343</v>
      </c>
      <c r="E22" s="1">
        <f t="shared" si="9"/>
        <v>184395.87735390503</v>
      </c>
      <c r="F22">
        <v>218009</v>
      </c>
      <c r="H22" s="1">
        <f t="shared" si="10"/>
        <v>5301.3981538300332</v>
      </c>
      <c r="I22" s="1">
        <f t="shared" si="11"/>
        <v>33432.3379736766</v>
      </c>
      <c r="J22" s="1">
        <f t="shared" si="12"/>
        <v>355.15902664547599</v>
      </c>
      <c r="K22" s="1">
        <f t="shared" si="13"/>
        <v>113304.39191519089</v>
      </c>
      <c r="M22" s="1"/>
      <c r="N22" s="1"/>
      <c r="O22" s="1"/>
      <c r="P22" s="1"/>
    </row>
    <row r="23" spans="1:16" x14ac:dyDescent="0.25">
      <c r="A23" t="s">
        <v>3</v>
      </c>
      <c r="B23" s="2">
        <f t="shared" si="7"/>
        <v>8106.5192000000006</v>
      </c>
      <c r="C23">
        <f>B23*10.6535/1000</f>
        <v>86.362802297200005</v>
      </c>
      <c r="D23" s="1">
        <f t="shared" si="8"/>
        <v>89024.21403160652</v>
      </c>
      <c r="E23" s="1">
        <f t="shared" si="9"/>
        <v>107719.29897824388</v>
      </c>
      <c r="F23">
        <v>225991</v>
      </c>
      <c r="H23" s="1">
        <f t="shared" si="10"/>
        <v>2642.7017502943204</v>
      </c>
      <c r="I23" s="1">
        <f t="shared" si="11"/>
        <v>29723.195834234131</v>
      </c>
      <c r="J23" s="1">
        <f t="shared" si="12"/>
        <v>177.04374470925998</v>
      </c>
      <c r="K23" s="1">
        <f t="shared" si="13"/>
        <v>56481.272702368806</v>
      </c>
      <c r="M23" s="1"/>
      <c r="N23" s="1"/>
      <c r="O23" s="1"/>
      <c r="P23" s="1"/>
    </row>
    <row r="24" spans="1:16" x14ac:dyDescent="0.25">
      <c r="A24" t="s">
        <v>4</v>
      </c>
      <c r="B24" s="2">
        <f t="shared" si="7"/>
        <v>2373.4572000000003</v>
      </c>
      <c r="C24">
        <f>B24*10.6318/1000</f>
        <v>25.234122258960003</v>
      </c>
      <c r="D24" s="1">
        <f t="shared" si="8"/>
        <v>44440.622532516551</v>
      </c>
      <c r="E24" s="1">
        <f t="shared" si="9"/>
        <v>53773.153264345026</v>
      </c>
      <c r="F24">
        <v>228328</v>
      </c>
      <c r="H24" s="1">
        <f t="shared" si="10"/>
        <v>772.16414112417613</v>
      </c>
      <c r="I24" s="1">
        <f t="shared" si="11"/>
        <v>27113.612483401666</v>
      </c>
      <c r="J24" s="1">
        <f t="shared" si="12"/>
        <v>51.729950630868004</v>
      </c>
      <c r="K24" s="1">
        <f t="shared" si="13"/>
        <v>16503.115957359842</v>
      </c>
      <c r="M24" s="1"/>
      <c r="N24" s="1"/>
      <c r="O24" s="1"/>
      <c r="P24" s="1"/>
    </row>
    <row r="25" spans="1:16" x14ac:dyDescent="0.25">
      <c r="A25" t="s">
        <v>5</v>
      </c>
      <c r="B25" s="2">
        <f t="shared" si="7"/>
        <v>0</v>
      </c>
      <c r="C25">
        <f>B25*10.6443/1000</f>
        <v>0</v>
      </c>
      <c r="D25" s="1">
        <f t="shared" si="8"/>
        <v>26036.367804166664</v>
      </c>
      <c r="E25" s="1">
        <f t="shared" si="9"/>
        <v>31504.005043041663</v>
      </c>
      <c r="F25">
        <v>228328</v>
      </c>
      <c r="H25" s="1">
        <f t="shared" si="10"/>
        <v>0</v>
      </c>
      <c r="I25" s="1">
        <f t="shared" si="11"/>
        <v>26036.367804166664</v>
      </c>
      <c r="J25" s="1">
        <f t="shared" si="12"/>
        <v>0</v>
      </c>
      <c r="K25" s="1">
        <f t="shared" si="13"/>
        <v>0</v>
      </c>
      <c r="M25" s="1"/>
      <c r="N25" s="1"/>
      <c r="O25" s="1"/>
      <c r="P25" s="1"/>
    </row>
    <row r="26" spans="1:16" x14ac:dyDescent="0.25">
      <c r="A26" t="s">
        <v>6</v>
      </c>
      <c r="B26" s="2">
        <f t="shared" si="7"/>
        <v>3.0468000000000002</v>
      </c>
      <c r="C26">
        <f>B26*10.6646/1000</f>
        <v>3.2492903279999999E-2</v>
      </c>
      <c r="D26" s="1">
        <f t="shared" si="8"/>
        <v>26060.066178244899</v>
      </c>
      <c r="E26" s="1">
        <f t="shared" si="9"/>
        <v>31532.680075676326</v>
      </c>
      <c r="F26">
        <v>228331</v>
      </c>
      <c r="H26" s="1">
        <f t="shared" si="10"/>
        <v>0.99428284036799996</v>
      </c>
      <c r="I26" s="1">
        <f t="shared" si="11"/>
        <v>26037.754926207686</v>
      </c>
      <c r="J26" s="1">
        <f t="shared" si="12"/>
        <v>6.6610451723999986E-2</v>
      </c>
      <c r="K26" s="1">
        <f t="shared" si="13"/>
        <v>21.25035874512</v>
      </c>
      <c r="M26" s="1"/>
      <c r="N26" s="1"/>
      <c r="O26" s="1"/>
      <c r="P26" s="1"/>
    </row>
    <row r="27" spans="1:16" x14ac:dyDescent="0.25">
      <c r="A27" t="s">
        <v>7</v>
      </c>
      <c r="B27" s="2">
        <f t="shared" si="7"/>
        <v>290.46160000000003</v>
      </c>
      <c r="C27">
        <f>B27*10.6492/1000</f>
        <v>3.0931836707200007</v>
      </c>
      <c r="D27" s="1">
        <f t="shared" si="8"/>
        <v>28292.350382569592</v>
      </c>
      <c r="E27" s="1">
        <f t="shared" si="9"/>
        <v>34233.743962909204</v>
      </c>
      <c r="F27">
        <v>228617</v>
      </c>
      <c r="H27" s="1">
        <f t="shared" si="10"/>
        <v>94.651420324032031</v>
      </c>
      <c r="I27" s="1">
        <f t="shared" si="11"/>
        <v>26168.4158150697</v>
      </c>
      <c r="J27" s="1">
        <f t="shared" si="12"/>
        <v>6.3410265249760007</v>
      </c>
      <c r="K27" s="1">
        <f t="shared" si="13"/>
        <v>2022.9421206508805</v>
      </c>
      <c r="M27" s="1"/>
      <c r="N27" s="1"/>
      <c r="O27" s="1"/>
      <c r="P27" s="1"/>
    </row>
    <row r="28" spans="1:16" x14ac:dyDescent="0.25">
      <c r="A28" t="s">
        <v>8</v>
      </c>
      <c r="B28" s="2">
        <f t="shared" si="7"/>
        <v>836.85440000000006</v>
      </c>
      <c r="C28">
        <f>B28*10.6653/1000</f>
        <v>8.925303232320001</v>
      </c>
      <c r="D28" s="1">
        <f t="shared" si="8"/>
        <v>32545.948463626934</v>
      </c>
      <c r="E28" s="1">
        <f t="shared" si="9"/>
        <v>39380.597640988592</v>
      </c>
      <c r="F28">
        <v>229441</v>
      </c>
      <c r="H28" s="1">
        <f t="shared" si="10"/>
        <v>273.11427890899205</v>
      </c>
      <c r="I28" s="1">
        <f t="shared" si="11"/>
        <v>26417.388999154406</v>
      </c>
      <c r="J28" s="1">
        <f t="shared" si="12"/>
        <v>18.296871626255999</v>
      </c>
      <c r="K28" s="1">
        <f t="shared" si="13"/>
        <v>5837.1483139372804</v>
      </c>
      <c r="M28" s="1"/>
      <c r="N28" s="1"/>
      <c r="O28" s="1"/>
      <c r="P28" s="1"/>
    </row>
    <row r="29" spans="1:16" x14ac:dyDescent="0.25">
      <c r="A29" t="s">
        <v>9</v>
      </c>
      <c r="B29" s="2">
        <f t="shared" si="7"/>
        <v>8893.6092000000008</v>
      </c>
      <c r="C29">
        <f>B29*10.626/1000</f>
        <v>94.503491359200012</v>
      </c>
      <c r="D29" s="1">
        <f t="shared" si="8"/>
        <v>94961.544192085596</v>
      </c>
      <c r="E29" s="1">
        <f t="shared" si="9"/>
        <v>114903.46847242357</v>
      </c>
      <c r="F29">
        <v>238198</v>
      </c>
      <c r="H29" s="1">
        <f t="shared" si="10"/>
        <v>2891.8068355915207</v>
      </c>
      <c r="I29" s="1">
        <f t="shared" si="11"/>
        <v>30070.721850290913</v>
      </c>
      <c r="J29" s="1">
        <f t="shared" si="12"/>
        <v>193.73215728636001</v>
      </c>
      <c r="K29" s="1">
        <f t="shared" si="13"/>
        <v>61805.283348916812</v>
      </c>
      <c r="M29" s="1"/>
      <c r="N29" s="1"/>
      <c r="O29" s="1"/>
      <c r="P29" s="1"/>
    </row>
    <row r="30" spans="1:16" x14ac:dyDescent="0.25">
      <c r="A30" t="s">
        <v>10</v>
      </c>
      <c r="B30" s="2">
        <f t="shared" si="7"/>
        <v>15929.686000000002</v>
      </c>
      <c r="C30">
        <f>B30*10.6333/1000</f>
        <v>169.38513014380001</v>
      </c>
      <c r="D30" s="1">
        <f t="shared" si="8"/>
        <v>149575.71862324578</v>
      </c>
      <c r="E30" s="1">
        <f t="shared" si="9"/>
        <v>180986.61953412739</v>
      </c>
      <c r="F30">
        <v>253883</v>
      </c>
      <c r="H30" s="1">
        <f t="shared" si="10"/>
        <v>5183.1849824002802</v>
      </c>
      <c r="I30" s="1">
        <f t="shared" si="11"/>
        <v>33267.419010005484</v>
      </c>
      <c r="J30" s="1">
        <f t="shared" si="12"/>
        <v>347.23951679479001</v>
      </c>
      <c r="K30" s="1">
        <f t="shared" si="13"/>
        <v>110777.87511404521</v>
      </c>
      <c r="M30" s="1"/>
      <c r="N30" s="1"/>
      <c r="O30" s="1"/>
      <c r="P30" s="1"/>
    </row>
    <row r="31" spans="1:16" x14ac:dyDescent="0.25">
      <c r="A31" t="s">
        <v>11</v>
      </c>
      <c r="B31" s="2">
        <f t="shared" si="7"/>
        <v>21817.119200000001</v>
      </c>
      <c r="C31">
        <f>B31*10.6616/1000</f>
        <v>232.60539806272001</v>
      </c>
      <c r="D31" s="1">
        <f t="shared" ref="D31" si="14">H31+I31+J31+K31</f>
        <v>195684.78882723086</v>
      </c>
      <c r="E31" s="1">
        <f t="shared" si="9"/>
        <v>236778.59448094934</v>
      </c>
      <c r="F31">
        <v>275365</v>
      </c>
      <c r="H31" s="1">
        <f t="shared" si="10"/>
        <v>7117.7251807192324</v>
      </c>
      <c r="I31" s="1">
        <f t="shared" si="11"/>
        <v>35966.292247464182</v>
      </c>
      <c r="J31" s="1">
        <f t="shared" si="12"/>
        <v>476.84106602857599</v>
      </c>
      <c r="K31" s="1">
        <f t="shared" si="13"/>
        <v>152123.93033301888</v>
      </c>
      <c r="M31" s="1"/>
      <c r="N31" s="1"/>
      <c r="O31" s="1"/>
      <c r="P31" s="1"/>
    </row>
    <row r="32" spans="1:16" x14ac:dyDescent="0.25">
      <c r="H32" s="1"/>
      <c r="I32" s="1"/>
      <c r="J32" s="1"/>
      <c r="K32" s="1"/>
      <c r="M32" s="1"/>
      <c r="N32" s="1"/>
      <c r="O32" s="1"/>
      <c r="P32" s="1"/>
    </row>
    <row r="35" spans="1:16" x14ac:dyDescent="0.25">
      <c r="A35" t="s">
        <v>43</v>
      </c>
      <c r="F35" t="s">
        <v>20</v>
      </c>
    </row>
    <row r="36" spans="1:16" x14ac:dyDescent="0.25">
      <c r="A36">
        <v>2020</v>
      </c>
      <c r="B36" t="s">
        <v>15</v>
      </c>
      <c r="C36" t="s">
        <v>12</v>
      </c>
      <c r="D36" t="s">
        <v>13</v>
      </c>
      <c r="E36" t="s">
        <v>14</v>
      </c>
      <c r="F36">
        <f>F31</f>
        <v>275365</v>
      </c>
      <c r="H36" t="s">
        <v>16</v>
      </c>
      <c r="I36" t="s">
        <v>17</v>
      </c>
      <c r="J36" t="s">
        <v>18</v>
      </c>
      <c r="K36" t="s">
        <v>19</v>
      </c>
    </row>
    <row r="37" spans="1:16" x14ac:dyDescent="0.25">
      <c r="A37" t="s">
        <v>0</v>
      </c>
      <c r="B37" s="2">
        <f t="shared" ref="B37:B48" si="15">(F37-F36)*1.0156</f>
        <v>23209.506800000003</v>
      </c>
      <c r="C37">
        <f>B37*10.6535/1000</f>
        <v>247.26248069380003</v>
      </c>
      <c r="D37" s="1">
        <f>H37+I37+J37+K37</f>
        <v>176460.15085973727</v>
      </c>
      <c r="E37" s="1">
        <f>D37*1.21</f>
        <v>213516.78254028209</v>
      </c>
      <c r="F37">
        <v>298218</v>
      </c>
      <c r="H37" s="1">
        <f t="shared" ref="H37:H44" si="16">30.6*C37</f>
        <v>7566.2319092302814</v>
      </c>
      <c r="I37" s="1">
        <f t="shared" ref="I37:I44" si="17">42.82*C37+228736.92/12*1.42464</f>
        <v>37743.426565708512</v>
      </c>
      <c r="J37" s="1">
        <f t="shared" ref="J37:J44" si="18">2.41*C37</f>
        <v>595.90257847205805</v>
      </c>
      <c r="K37" s="1">
        <f t="shared" ref="K37:K44" si="19">528*C37</f>
        <v>130554.58980632642</v>
      </c>
      <c r="M37" s="1"/>
      <c r="N37" s="1"/>
      <c r="O37" s="1"/>
      <c r="P37" s="1"/>
    </row>
    <row r="38" spans="1:16" x14ac:dyDescent="0.25">
      <c r="A38" t="s">
        <v>1</v>
      </c>
      <c r="B38" s="2">
        <f t="shared" si="15"/>
        <v>18539.778000000002</v>
      </c>
      <c r="C38">
        <f>B38*10.6584/1000</f>
        <v>197.60436983520003</v>
      </c>
      <c r="D38" s="1">
        <f t="shared" ref="D38:D47" si="20">H38+I38+J38+K38</f>
        <v>146475.09377998882</v>
      </c>
      <c r="E38" s="1">
        <f t="shared" ref="E38:E48" si="21">D38*1.21</f>
        <v>177234.86347378648</v>
      </c>
      <c r="F38">
        <v>316473</v>
      </c>
      <c r="H38" s="1">
        <f t="shared" si="16"/>
        <v>6046.6937169571211</v>
      </c>
      <c r="I38" s="1">
        <f t="shared" si="17"/>
        <v>35617.06625874326</v>
      </c>
      <c r="J38" s="1">
        <f t="shared" si="18"/>
        <v>476.22653130283209</v>
      </c>
      <c r="K38" s="1">
        <f t="shared" si="19"/>
        <v>104335.10727298562</v>
      </c>
      <c r="M38" s="1"/>
      <c r="N38" s="1"/>
      <c r="O38" s="1"/>
      <c r="P38" s="1"/>
    </row>
    <row r="39" spans="1:16" x14ac:dyDescent="0.25">
      <c r="A39" t="s">
        <v>2</v>
      </c>
      <c r="B39" s="2">
        <f t="shared" si="15"/>
        <v>14821.6664</v>
      </c>
      <c r="C39">
        <f>B39*10.6619/1000</f>
        <v>158.02712499015999</v>
      </c>
      <c r="D39" s="1">
        <f t="shared" si="20"/>
        <v>122577.16602520831</v>
      </c>
      <c r="E39" s="1">
        <f t="shared" si="21"/>
        <v>148318.37089050206</v>
      </c>
      <c r="F39">
        <v>331067</v>
      </c>
      <c r="H39" s="1">
        <f t="shared" si="16"/>
        <v>4835.6300246988958</v>
      </c>
      <c r="I39" s="1">
        <f t="shared" si="17"/>
        <v>33922.368634478647</v>
      </c>
      <c r="J39" s="1">
        <f t="shared" si="18"/>
        <v>380.84537122628558</v>
      </c>
      <c r="K39" s="1">
        <f t="shared" si="19"/>
        <v>83438.321994804472</v>
      </c>
      <c r="M39" s="1"/>
      <c r="N39" s="1"/>
      <c r="O39" s="1"/>
      <c r="P39" s="1"/>
    </row>
    <row r="40" spans="1:16" x14ac:dyDescent="0.25">
      <c r="A40" t="s">
        <v>3</v>
      </c>
      <c r="B40" s="2">
        <f t="shared" si="15"/>
        <v>4840.3496000000005</v>
      </c>
      <c r="C40">
        <f>B40*10.6705/1000</f>
        <v>51.648950406800012</v>
      </c>
      <c r="D40" s="1">
        <f t="shared" si="20"/>
        <v>53275.744724979711</v>
      </c>
      <c r="E40" s="1">
        <f t="shared" si="21"/>
        <v>64463.651117225447</v>
      </c>
      <c r="F40">
        <v>335833</v>
      </c>
      <c r="H40" s="1">
        <f t="shared" si="16"/>
        <v>1580.4578824480805</v>
      </c>
      <c r="I40" s="1">
        <f>42.82*C40+232570.31/12*1.13971</f>
        <v>24300.167057260842</v>
      </c>
      <c r="J40" s="1">
        <f t="shared" si="18"/>
        <v>124.47397048038803</v>
      </c>
      <c r="K40" s="1">
        <f t="shared" si="19"/>
        <v>27270.645814790405</v>
      </c>
      <c r="M40" s="1"/>
      <c r="N40" s="1"/>
      <c r="O40" s="1"/>
      <c r="P40" s="1"/>
    </row>
    <row r="41" spans="1:16" x14ac:dyDescent="0.25">
      <c r="A41" t="s">
        <v>4</v>
      </c>
      <c r="B41" s="2">
        <f t="shared" si="15"/>
        <v>1955.0300000000002</v>
      </c>
      <c r="C41">
        <f>B41*10.6738/1000</f>
        <v>20.867599214000002</v>
      </c>
      <c r="D41" s="1">
        <f t="shared" si="20"/>
        <v>39756.129575789622</v>
      </c>
      <c r="E41" s="1">
        <f t="shared" si="21"/>
        <v>48104.916786705442</v>
      </c>
      <c r="F41">
        <v>337758</v>
      </c>
      <c r="H41" s="1">
        <f t="shared" si="16"/>
        <v>638.54853594840006</v>
      </c>
      <c r="I41" s="1">
        <f>42.82*C41+228736.92/12*1.42464</f>
        <v>28049.197740743479</v>
      </c>
      <c r="J41" s="1">
        <f t="shared" si="18"/>
        <v>50.290914105740008</v>
      </c>
      <c r="K41" s="1">
        <f t="shared" si="19"/>
        <v>11018.092384992002</v>
      </c>
      <c r="M41" s="1"/>
      <c r="N41" s="1"/>
      <c r="O41" s="1"/>
      <c r="P41" s="1"/>
    </row>
    <row r="42" spans="1:16" x14ac:dyDescent="0.25">
      <c r="A42" t="s">
        <v>5</v>
      </c>
      <c r="B42" s="2">
        <f t="shared" si="15"/>
        <v>903.88400000000001</v>
      </c>
      <c r="C42">
        <f>B42*10.7082/1000</f>
        <v>9.6789706488</v>
      </c>
      <c r="D42" s="1">
        <f t="shared" si="20"/>
        <v>33000.099989264898</v>
      </c>
      <c r="E42" s="1">
        <f t="shared" si="21"/>
        <v>39930.120987010523</v>
      </c>
      <c r="F42">
        <v>338648</v>
      </c>
      <c r="H42" s="1">
        <f t="shared" si="16"/>
        <v>296.17650185328</v>
      </c>
      <c r="I42" s="1">
        <f t="shared" si="17"/>
        <v>27570.100665581613</v>
      </c>
      <c r="J42" s="1">
        <f t="shared" si="18"/>
        <v>23.326319263608003</v>
      </c>
      <c r="K42" s="1">
        <f t="shared" si="19"/>
        <v>5110.4965025663996</v>
      </c>
      <c r="M42" s="1"/>
      <c r="N42" s="1"/>
      <c r="O42" s="1"/>
      <c r="P42" s="1"/>
    </row>
    <row r="43" spans="1:16" x14ac:dyDescent="0.25">
      <c r="A43" t="s">
        <v>6</v>
      </c>
      <c r="B43" s="2">
        <f t="shared" si="15"/>
        <v>886.61880000000008</v>
      </c>
      <c r="C43">
        <f>B43*10.6993/1000</f>
        <v>9.4862005268400011</v>
      </c>
      <c r="D43" s="1">
        <f t="shared" si="20"/>
        <v>32883.699606521797</v>
      </c>
      <c r="E43" s="1">
        <f t="shared" si="21"/>
        <v>39789.276523891371</v>
      </c>
      <c r="F43">
        <v>339521</v>
      </c>
      <c r="H43" s="1">
        <f t="shared" si="16"/>
        <v>290.27773612130403</v>
      </c>
      <c r="I43" s="1">
        <f t="shared" si="17"/>
        <v>27561.846248959286</v>
      </c>
      <c r="J43" s="1">
        <f t="shared" si="18"/>
        <v>22.861743269684403</v>
      </c>
      <c r="K43" s="1">
        <f t="shared" si="19"/>
        <v>5008.7138781715203</v>
      </c>
      <c r="M43" s="1"/>
      <c r="N43" s="1"/>
      <c r="O43" s="1"/>
      <c r="P43" s="1"/>
    </row>
    <row r="44" spans="1:16" x14ac:dyDescent="0.25">
      <c r="A44" t="s">
        <v>7</v>
      </c>
      <c r="B44" s="2">
        <f t="shared" si="15"/>
        <v>850.05720000000008</v>
      </c>
      <c r="C44">
        <f>B44*10.7378/1000</f>
        <v>9.1277442021600006</v>
      </c>
      <c r="D44" s="1">
        <f t="shared" si="20"/>
        <v>32667.252923990269</v>
      </c>
      <c r="E44" s="1">
        <f t="shared" si="21"/>
        <v>39527.376038028226</v>
      </c>
      <c r="F44">
        <v>340358</v>
      </c>
      <c r="H44" s="1">
        <f t="shared" si="16"/>
        <v>279.30897258609605</v>
      </c>
      <c r="I44" s="1">
        <f t="shared" si="17"/>
        <v>27546.497149136489</v>
      </c>
      <c r="J44" s="1">
        <f t="shared" si="18"/>
        <v>21.997863527205602</v>
      </c>
      <c r="K44" s="1">
        <f t="shared" si="19"/>
        <v>4819.4489387404801</v>
      </c>
      <c r="M44" s="1"/>
      <c r="N44" s="1"/>
      <c r="O44" s="1"/>
      <c r="P44" s="1"/>
    </row>
    <row r="45" spans="1:16" x14ac:dyDescent="0.25">
      <c r="A45" t="s">
        <v>8</v>
      </c>
      <c r="B45" s="2">
        <f t="shared" si="15"/>
        <v>1881.9068000000002</v>
      </c>
      <c r="C45">
        <f>B45*10.7325/1000</f>
        <v>20.197564731000003</v>
      </c>
      <c r="D45" s="1">
        <f t="shared" si="20"/>
        <v>39351.542653919729</v>
      </c>
      <c r="E45" s="1">
        <f t="shared" si="21"/>
        <v>47615.366611242869</v>
      </c>
      <c r="F45">
        <v>342211</v>
      </c>
      <c r="H45" s="1">
        <f t="shared" ref="H45" si="22">30.6*C45</f>
        <v>618.0454807686001</v>
      </c>
      <c r="I45" s="1">
        <f>42.82*C45+228736.92/12*1.42464</f>
        <v>28020.506864181418</v>
      </c>
      <c r="J45" s="1">
        <f t="shared" ref="J45" si="23">2.41*C45</f>
        <v>48.676131001710012</v>
      </c>
      <c r="K45" s="1">
        <f>528*C45</f>
        <v>10664.314177968003</v>
      </c>
      <c r="M45" s="1"/>
      <c r="N45" s="1"/>
      <c r="O45" s="1"/>
      <c r="P45" s="1"/>
    </row>
    <row r="46" spans="1:16" x14ac:dyDescent="0.25">
      <c r="A46" t="s">
        <v>9</v>
      </c>
      <c r="B46" s="2">
        <f t="shared" si="15"/>
        <v>11554.4812</v>
      </c>
      <c r="C46">
        <f>B46*10.6861/1000</f>
        <v>123.47234155132</v>
      </c>
      <c r="D46" s="1">
        <f t="shared" si="20"/>
        <v>101711.95114133356</v>
      </c>
      <c r="E46" s="1">
        <f t="shared" si="21"/>
        <v>123071.4608810136</v>
      </c>
      <c r="F46">
        <v>353588</v>
      </c>
      <c r="H46" s="1">
        <f t="shared" ref="H46:H48" si="24">30.6*C46</f>
        <v>3778.253651470392</v>
      </c>
      <c r="I46" s="1">
        <f t="shared" ref="I46:I48" si="25">42.82*C46+228736.92/12*1.42464</f>
        <v>32442.732807627519</v>
      </c>
      <c r="J46" s="1">
        <f t="shared" ref="J46:J48" si="26">2.41*C46</f>
        <v>297.5683431386812</v>
      </c>
      <c r="K46" s="1">
        <f t="shared" ref="K46:K48" si="27">528*C46</f>
        <v>65193.396339096958</v>
      </c>
      <c r="M46" s="1"/>
      <c r="N46" s="1"/>
      <c r="O46" s="1"/>
      <c r="P46" s="1"/>
    </row>
    <row r="47" spans="1:16" x14ac:dyDescent="0.25">
      <c r="A47" t="s">
        <v>10</v>
      </c>
      <c r="B47" s="2">
        <f t="shared" si="15"/>
        <v>16244.522000000001</v>
      </c>
      <c r="C47">
        <f>B47*10.675/1000</f>
        <v>173.41027235000001</v>
      </c>
      <c r="D47" s="1">
        <f t="shared" si="20"/>
        <v>131865.97189550049</v>
      </c>
      <c r="E47" s="1">
        <f t="shared" si="21"/>
        <v>159557.8259935556</v>
      </c>
      <c r="F47">
        <v>369583</v>
      </c>
      <c r="H47" s="1">
        <f t="shared" si="24"/>
        <v>5306.3543339100006</v>
      </c>
      <c r="I47" s="1">
        <f t="shared" si="25"/>
        <v>34581.075004426995</v>
      </c>
      <c r="J47" s="1">
        <f t="shared" si="26"/>
        <v>417.91875636350005</v>
      </c>
      <c r="K47" s="1">
        <f t="shared" si="27"/>
        <v>91560.623800800007</v>
      </c>
      <c r="M47" s="1"/>
      <c r="N47" s="1"/>
      <c r="O47" s="1"/>
      <c r="P47" s="1"/>
    </row>
    <row r="48" spans="1:16" x14ac:dyDescent="0.25">
      <c r="A48" t="s">
        <v>11</v>
      </c>
      <c r="B48" s="2">
        <f t="shared" si="15"/>
        <v>20917.297600000002</v>
      </c>
      <c r="C48">
        <f>B48*10.6758/1000</f>
        <v>223.30888571808003</v>
      </c>
      <c r="D48" s="1">
        <f t="shared" ref="D48" si="28">H48+I48+J48+K48</f>
        <v>161996.25160554826</v>
      </c>
      <c r="E48" s="1">
        <f t="shared" si="21"/>
        <v>196015.46444271339</v>
      </c>
      <c r="F48">
        <v>390179</v>
      </c>
      <c r="H48" s="1">
        <f t="shared" si="24"/>
        <v>6833.2519029732493</v>
      </c>
      <c r="I48" s="1">
        <f t="shared" si="25"/>
        <v>36717.733628848182</v>
      </c>
      <c r="J48" s="1">
        <f t="shared" si="26"/>
        <v>538.17441458057294</v>
      </c>
      <c r="K48" s="1">
        <f t="shared" si="27"/>
        <v>117907.09165914626</v>
      </c>
      <c r="M48" s="1"/>
      <c r="N48" s="1"/>
      <c r="O48" s="1"/>
      <c r="P48" s="1"/>
    </row>
    <row r="49" spans="1:16" x14ac:dyDescent="0.25">
      <c r="A49" s="8"/>
      <c r="H49" s="1"/>
      <c r="I49" s="1"/>
      <c r="J49" s="1"/>
      <c r="K49" s="1"/>
      <c r="M49" s="1"/>
      <c r="N49" s="1"/>
      <c r="O49" s="1"/>
      <c r="P49" s="1"/>
    </row>
    <row r="50" spans="1:16" x14ac:dyDescent="0.25">
      <c r="B50" t="s">
        <v>15</v>
      </c>
      <c r="C50" t="s">
        <v>14</v>
      </c>
    </row>
    <row r="51" spans="1:16" x14ac:dyDescent="0.25">
      <c r="A51">
        <v>2018</v>
      </c>
      <c r="B51" s="2">
        <f>SUM(B3:B14)</f>
        <v>146121.48120000004</v>
      </c>
      <c r="C51" s="1">
        <f>SUM(E3:E14)</f>
        <v>1504704.0160101051</v>
      </c>
      <c r="D51" s="1"/>
    </row>
    <row r="52" spans="1:16" x14ac:dyDescent="0.25">
      <c r="A52">
        <v>2019</v>
      </c>
      <c r="B52" s="2">
        <f>SUM(B20:B31)</f>
        <v>129596.65360000001</v>
      </c>
      <c r="C52" s="1">
        <f>SUM(E20:E31)</f>
        <v>1597190.13961225</v>
      </c>
      <c r="D52" s="1"/>
    </row>
    <row r="53" spans="1:16" x14ac:dyDescent="0.25">
      <c r="A53">
        <v>2020</v>
      </c>
      <c r="B53" s="2">
        <f>SUM(B37:B48)</f>
        <v>116605.0984</v>
      </c>
      <c r="C53" s="1">
        <f>SUM(E37:E48)</f>
        <v>1297145.4762859573</v>
      </c>
      <c r="D53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22" workbookViewId="0">
      <selection activeCell="C64" sqref="C64"/>
    </sheetView>
  </sheetViews>
  <sheetFormatPr defaultRowHeight="15" x14ac:dyDescent="0.25"/>
  <cols>
    <col min="3" max="3" width="10.140625" customWidth="1"/>
    <col min="8" max="11" width="9.140625" style="3"/>
  </cols>
  <sheetData>
    <row r="1" spans="1:11" x14ac:dyDescent="0.25">
      <c r="C1" t="s">
        <v>21</v>
      </c>
      <c r="H1" s="3" t="s">
        <v>44</v>
      </c>
    </row>
    <row r="2" spans="1:11" x14ac:dyDescent="0.25">
      <c r="A2">
        <v>2018</v>
      </c>
      <c r="B2" t="s">
        <v>15</v>
      </c>
      <c r="C2" t="s">
        <v>14</v>
      </c>
      <c r="E2">
        <v>7820</v>
      </c>
      <c r="H2" s="3" t="s">
        <v>31</v>
      </c>
      <c r="I2" s="3">
        <v>21629586</v>
      </c>
    </row>
    <row r="3" spans="1:11" x14ac:dyDescent="0.25">
      <c r="A3" t="s">
        <v>0</v>
      </c>
      <c r="B3">
        <f t="shared" ref="B3:B14" si="0">E3-E2</f>
        <v>144</v>
      </c>
      <c r="C3" s="1">
        <f>B3*(43.55+35.85)*1.15</f>
        <v>13148.64</v>
      </c>
      <c r="E3">
        <v>7964</v>
      </c>
      <c r="H3" s="3">
        <v>2018</v>
      </c>
      <c r="J3" s="3" t="s">
        <v>15</v>
      </c>
      <c r="K3" s="3" t="s">
        <v>14</v>
      </c>
    </row>
    <row r="4" spans="1:11" x14ac:dyDescent="0.25">
      <c r="A4" t="s">
        <v>1</v>
      </c>
      <c r="B4">
        <f t="shared" si="0"/>
        <v>90</v>
      </c>
      <c r="C4" s="1">
        <f t="shared" ref="C4:C14" si="1">B4*(43.55+35.85)*1.15</f>
        <v>8217.9</v>
      </c>
      <c r="E4">
        <v>8054</v>
      </c>
      <c r="H4" s="3" t="s">
        <v>32</v>
      </c>
      <c r="I4" s="3" t="s">
        <v>33</v>
      </c>
      <c r="J4" s="3">
        <v>64</v>
      </c>
      <c r="K4" s="7">
        <f>J4*(43.55+35.85)*1.15</f>
        <v>5843.84</v>
      </c>
    </row>
    <row r="5" spans="1:11" x14ac:dyDescent="0.25">
      <c r="A5" t="s">
        <v>2</v>
      </c>
      <c r="B5">
        <f t="shared" si="0"/>
        <v>212</v>
      </c>
      <c r="C5" s="1">
        <f t="shared" si="1"/>
        <v>19357.72</v>
      </c>
      <c r="E5">
        <v>8266</v>
      </c>
      <c r="H5" s="3" t="s">
        <v>34</v>
      </c>
      <c r="I5" s="3" t="s">
        <v>35</v>
      </c>
      <c r="J5" s="3">
        <f>1029-888</f>
        <v>141</v>
      </c>
      <c r="K5" s="7">
        <f>J5*(43.55+35.85)*1.15</f>
        <v>12874.710000000001</v>
      </c>
    </row>
    <row r="6" spans="1:11" x14ac:dyDescent="0.25">
      <c r="A6" t="s">
        <v>3</v>
      </c>
      <c r="B6">
        <f t="shared" si="0"/>
        <v>108</v>
      </c>
      <c r="C6" s="1">
        <f t="shared" si="1"/>
        <v>9861.48</v>
      </c>
      <c r="E6">
        <v>8374</v>
      </c>
      <c r="H6" s="3" t="s">
        <v>36</v>
      </c>
      <c r="I6" s="3" t="s">
        <v>37</v>
      </c>
      <c r="J6" s="3">
        <f>1144-1029</f>
        <v>115</v>
      </c>
      <c r="K6" s="7">
        <f>J6*(43.55+35.85)*1.15</f>
        <v>10500.65</v>
      </c>
    </row>
    <row r="7" spans="1:11" x14ac:dyDescent="0.25">
      <c r="A7" t="s">
        <v>4</v>
      </c>
      <c r="B7">
        <f t="shared" si="0"/>
        <v>97</v>
      </c>
      <c r="C7" s="1">
        <f t="shared" si="1"/>
        <v>8857.07</v>
      </c>
      <c r="E7">
        <v>8471</v>
      </c>
      <c r="H7" s="3" t="s">
        <v>38</v>
      </c>
      <c r="I7" s="3" t="s">
        <v>39</v>
      </c>
      <c r="J7" s="3">
        <f>1246-1144</f>
        <v>102</v>
      </c>
      <c r="K7" s="7">
        <f>J7*(43.55+35.85)*1.15</f>
        <v>9313.619999999999</v>
      </c>
    </row>
    <row r="8" spans="1:11" x14ac:dyDescent="0.25">
      <c r="A8" t="s">
        <v>5</v>
      </c>
      <c r="B8">
        <f t="shared" si="0"/>
        <v>121</v>
      </c>
      <c r="C8" s="1">
        <f t="shared" si="1"/>
        <v>11048.51</v>
      </c>
      <c r="E8">
        <v>8592</v>
      </c>
      <c r="H8" s="3" t="s">
        <v>40</v>
      </c>
      <c r="I8" s="3" t="s">
        <v>41</v>
      </c>
      <c r="J8" s="3">
        <f>18+5</f>
        <v>23</v>
      </c>
      <c r="K8" s="7">
        <f>J8*(43.55+35.85)*1.15</f>
        <v>2100.13</v>
      </c>
    </row>
    <row r="9" spans="1:11" x14ac:dyDescent="0.25">
      <c r="A9" t="s">
        <v>6</v>
      </c>
      <c r="B9">
        <f t="shared" si="0"/>
        <v>101</v>
      </c>
      <c r="C9" s="1">
        <f t="shared" si="1"/>
        <v>9222.31</v>
      </c>
      <c r="E9">
        <v>8693</v>
      </c>
    </row>
    <row r="10" spans="1:11" x14ac:dyDescent="0.25">
      <c r="A10" t="s">
        <v>7</v>
      </c>
      <c r="B10">
        <f t="shared" si="0"/>
        <v>82</v>
      </c>
      <c r="C10" s="1">
        <f t="shared" si="1"/>
        <v>7487.42</v>
      </c>
      <c r="E10">
        <v>8775</v>
      </c>
    </row>
    <row r="11" spans="1:11" x14ac:dyDescent="0.25">
      <c r="A11" t="s">
        <v>8</v>
      </c>
      <c r="B11">
        <f t="shared" si="0"/>
        <v>164</v>
      </c>
      <c r="C11" s="1">
        <f t="shared" si="1"/>
        <v>14974.84</v>
      </c>
      <c r="E11">
        <v>8939</v>
      </c>
    </row>
    <row r="12" spans="1:11" x14ac:dyDescent="0.25">
      <c r="A12" t="s">
        <v>9</v>
      </c>
      <c r="B12">
        <f t="shared" si="0"/>
        <v>151</v>
      </c>
      <c r="C12" s="1">
        <f t="shared" si="1"/>
        <v>13787.810000000001</v>
      </c>
      <c r="E12">
        <v>9090</v>
      </c>
    </row>
    <row r="13" spans="1:11" x14ac:dyDescent="0.25">
      <c r="A13" t="s">
        <v>10</v>
      </c>
      <c r="B13">
        <f t="shared" si="0"/>
        <v>120</v>
      </c>
      <c r="C13" s="1">
        <f t="shared" si="1"/>
        <v>10957.199999999999</v>
      </c>
      <c r="E13">
        <v>9210</v>
      </c>
    </row>
    <row r="14" spans="1:11" x14ac:dyDescent="0.25">
      <c r="A14" t="s">
        <v>11</v>
      </c>
      <c r="B14">
        <f t="shared" si="0"/>
        <v>246</v>
      </c>
      <c r="C14" s="1">
        <f t="shared" si="1"/>
        <v>22462.26</v>
      </c>
      <c r="E14">
        <f>9410+46</f>
        <v>9456</v>
      </c>
    </row>
    <row r="17" spans="1:11" x14ac:dyDescent="0.25">
      <c r="C17" t="s">
        <v>21</v>
      </c>
    </row>
    <row r="18" spans="1:11" x14ac:dyDescent="0.25">
      <c r="A18">
        <v>2019</v>
      </c>
      <c r="B18" t="s">
        <v>15</v>
      </c>
      <c r="C18" t="s">
        <v>14</v>
      </c>
      <c r="E18">
        <v>46</v>
      </c>
      <c r="H18" s="3" t="s">
        <v>31</v>
      </c>
      <c r="I18" s="3">
        <v>21629586</v>
      </c>
    </row>
    <row r="19" spans="1:11" x14ac:dyDescent="0.25">
      <c r="A19" t="s">
        <v>0</v>
      </c>
      <c r="B19">
        <f>E19-E18</f>
        <v>79</v>
      </c>
      <c r="C19" s="1">
        <f>B19*(45.53+37.48)*1.15</f>
        <v>7541.4584999999979</v>
      </c>
      <c r="E19">
        <v>125</v>
      </c>
      <c r="H19" s="3">
        <v>2019</v>
      </c>
      <c r="J19" s="3" t="s">
        <v>15</v>
      </c>
      <c r="K19" s="3" t="s">
        <v>14</v>
      </c>
    </row>
    <row r="20" spans="1:11" x14ac:dyDescent="0.25">
      <c r="A20" t="s">
        <v>1</v>
      </c>
      <c r="B20">
        <f t="shared" ref="B20:B30" si="2">E20-E19</f>
        <v>70</v>
      </c>
      <c r="C20" s="1">
        <f t="shared" ref="C20:C30" si="3">B20*(45.53+37.48)*1.15</f>
        <v>6682.3049999999985</v>
      </c>
      <c r="E20">
        <v>195</v>
      </c>
      <c r="H20" s="3" t="s">
        <v>32</v>
      </c>
      <c r="I20" s="3" t="s">
        <v>33</v>
      </c>
      <c r="J20" s="3">
        <f>60+16</f>
        <v>76</v>
      </c>
      <c r="K20" s="7">
        <f>J20*(45.53+37.48)*1.15</f>
        <v>7255.0739999999987</v>
      </c>
    </row>
    <row r="21" spans="1:11" x14ac:dyDescent="0.25">
      <c r="A21" t="s">
        <v>2</v>
      </c>
      <c r="B21">
        <f t="shared" si="2"/>
        <v>66</v>
      </c>
      <c r="C21" s="1">
        <f t="shared" si="3"/>
        <v>6300.4589999999989</v>
      </c>
      <c r="E21">
        <v>261</v>
      </c>
      <c r="H21" s="3" t="s">
        <v>34</v>
      </c>
      <c r="I21" s="3" t="s">
        <v>35</v>
      </c>
      <c r="J21" s="3">
        <f>1435-1345</f>
        <v>90</v>
      </c>
      <c r="K21" s="7">
        <f t="shared" ref="K21:K24" si="4">J21*(45.53+37.48)*1.15</f>
        <v>8591.534999999998</v>
      </c>
    </row>
    <row r="22" spans="1:11" x14ac:dyDescent="0.25">
      <c r="A22" t="s">
        <v>3</v>
      </c>
      <c r="B22">
        <f t="shared" si="2"/>
        <v>75</v>
      </c>
      <c r="C22" s="1">
        <f t="shared" si="3"/>
        <v>7159.6124999999984</v>
      </c>
      <c r="E22">
        <v>336</v>
      </c>
      <c r="H22" s="3" t="s">
        <v>36</v>
      </c>
      <c r="I22" s="3" t="s">
        <v>37</v>
      </c>
      <c r="J22" s="3">
        <v>83</v>
      </c>
      <c r="K22" s="7">
        <f t="shared" si="4"/>
        <v>7923.3044999999984</v>
      </c>
    </row>
    <row r="23" spans="1:11" x14ac:dyDescent="0.25">
      <c r="A23" t="s">
        <v>4</v>
      </c>
      <c r="B23">
        <f t="shared" si="2"/>
        <v>68</v>
      </c>
      <c r="C23" s="1">
        <f t="shared" si="3"/>
        <v>6491.3819999999987</v>
      </c>
      <c r="E23">
        <v>404</v>
      </c>
      <c r="H23" s="3" t="s">
        <v>38</v>
      </c>
      <c r="I23" s="3" t="s">
        <v>42</v>
      </c>
      <c r="J23" s="3">
        <v>73</v>
      </c>
      <c r="K23" s="7">
        <f t="shared" si="4"/>
        <v>6968.6894999999986</v>
      </c>
    </row>
    <row r="24" spans="1:11" x14ac:dyDescent="0.25">
      <c r="A24" t="s">
        <v>5</v>
      </c>
      <c r="B24">
        <f t="shared" si="2"/>
        <v>49</v>
      </c>
      <c r="C24" s="1">
        <f t="shared" si="3"/>
        <v>4677.6134999999995</v>
      </c>
      <c r="E24">
        <v>453</v>
      </c>
      <c r="I24" s="3" t="s">
        <v>41</v>
      </c>
      <c r="J24" s="3">
        <v>18</v>
      </c>
      <c r="K24" s="7">
        <f t="shared" si="4"/>
        <v>1718.3069999999998</v>
      </c>
    </row>
    <row r="25" spans="1:11" x14ac:dyDescent="0.25">
      <c r="A25" t="s">
        <v>6</v>
      </c>
      <c r="B25">
        <f t="shared" si="2"/>
        <v>84</v>
      </c>
      <c r="C25" s="1">
        <f t="shared" si="3"/>
        <v>8018.7659999999987</v>
      </c>
      <c r="E25">
        <v>537</v>
      </c>
    </row>
    <row r="26" spans="1:11" x14ac:dyDescent="0.25">
      <c r="A26" t="s">
        <v>7</v>
      </c>
      <c r="B26">
        <f t="shared" si="2"/>
        <v>87</v>
      </c>
      <c r="C26" s="1">
        <f t="shared" si="3"/>
        <v>8305.1504999999979</v>
      </c>
      <c r="E26">
        <v>624</v>
      </c>
    </row>
    <row r="27" spans="1:11" x14ac:dyDescent="0.25">
      <c r="A27" t="s">
        <v>8</v>
      </c>
      <c r="B27">
        <f t="shared" si="2"/>
        <v>84</v>
      </c>
      <c r="C27" s="1">
        <f t="shared" si="3"/>
        <v>8018.7659999999987</v>
      </c>
      <c r="E27">
        <v>708</v>
      </c>
    </row>
    <row r="28" spans="1:11" x14ac:dyDescent="0.25">
      <c r="A28" t="s">
        <v>9</v>
      </c>
      <c r="B28">
        <f t="shared" si="2"/>
        <v>85</v>
      </c>
      <c r="C28" s="1">
        <f t="shared" si="3"/>
        <v>8114.2274999999991</v>
      </c>
      <c r="E28">
        <v>793</v>
      </c>
    </row>
    <row r="29" spans="1:11" x14ac:dyDescent="0.25">
      <c r="A29" t="s">
        <v>10</v>
      </c>
      <c r="B29">
        <f t="shared" si="2"/>
        <v>73</v>
      </c>
      <c r="C29" s="1">
        <f t="shared" si="3"/>
        <v>6968.6894999999986</v>
      </c>
      <c r="E29">
        <v>866</v>
      </c>
    </row>
    <row r="30" spans="1:11" x14ac:dyDescent="0.25">
      <c r="A30" t="s">
        <v>11</v>
      </c>
      <c r="B30">
        <f t="shared" si="2"/>
        <v>72</v>
      </c>
      <c r="C30" s="1">
        <f t="shared" si="3"/>
        <v>6873.2279999999992</v>
      </c>
      <c r="E30">
        <v>938</v>
      </c>
    </row>
    <row r="33" spans="1:11" x14ac:dyDescent="0.25">
      <c r="C33" t="s">
        <v>21</v>
      </c>
    </row>
    <row r="34" spans="1:11" x14ac:dyDescent="0.25">
      <c r="A34">
        <v>2020</v>
      </c>
      <c r="B34" t="s">
        <v>15</v>
      </c>
      <c r="C34" t="s">
        <v>14</v>
      </c>
      <c r="E34">
        <f>E30</f>
        <v>938</v>
      </c>
      <c r="H34" s="3" t="s">
        <v>31</v>
      </c>
      <c r="I34" s="3">
        <v>21629586</v>
      </c>
    </row>
    <row r="35" spans="1:11" x14ac:dyDescent="0.25">
      <c r="A35" t="s">
        <v>0</v>
      </c>
      <c r="B35">
        <f t="shared" ref="B35:B46" si="5">E35-E34</f>
        <v>75</v>
      </c>
      <c r="C35" s="1">
        <f>B35*(47.61+39.18)*1.15</f>
        <v>7485.637499999998</v>
      </c>
      <c r="E35">
        <v>1013</v>
      </c>
      <c r="H35" s="3">
        <v>2020</v>
      </c>
      <c r="J35" s="3" t="s">
        <v>15</v>
      </c>
      <c r="K35" s="3" t="s">
        <v>14</v>
      </c>
    </row>
    <row r="36" spans="1:11" x14ac:dyDescent="0.25">
      <c r="A36" t="s">
        <v>1</v>
      </c>
      <c r="B36">
        <f t="shared" si="5"/>
        <v>74</v>
      </c>
      <c r="C36" s="1">
        <f t="shared" ref="C36:C46" si="6">B36*(47.61+39.18)*1.15</f>
        <v>7385.8289999999988</v>
      </c>
      <c r="E36">
        <v>1087</v>
      </c>
      <c r="H36" s="3" t="s">
        <v>32</v>
      </c>
      <c r="I36" s="3" t="s">
        <v>33</v>
      </c>
      <c r="J36" s="3">
        <f>48+13</f>
        <v>61</v>
      </c>
      <c r="K36" s="7">
        <f>J36*(47.61+39.18)*1.15</f>
        <v>6088.3184999999994</v>
      </c>
    </row>
    <row r="37" spans="1:11" x14ac:dyDescent="0.25">
      <c r="A37" t="s">
        <v>2</v>
      </c>
      <c r="B37">
        <f t="shared" si="5"/>
        <v>55</v>
      </c>
      <c r="C37" s="1">
        <f t="shared" si="6"/>
        <v>5489.4674999999997</v>
      </c>
      <c r="E37">
        <v>1142</v>
      </c>
      <c r="H37" s="3" t="s">
        <v>34</v>
      </c>
      <c r="I37" s="3" t="s">
        <v>35</v>
      </c>
      <c r="J37" s="3">
        <f>1769-1670</f>
        <v>99</v>
      </c>
      <c r="K37" s="7">
        <f>J37*(47.61+39.18)*1.15</f>
        <v>9881.0414999999975</v>
      </c>
    </row>
    <row r="38" spans="1:11" x14ac:dyDescent="0.25">
      <c r="A38" t="s">
        <v>3</v>
      </c>
      <c r="B38">
        <f t="shared" si="5"/>
        <v>25</v>
      </c>
      <c r="C38" s="1">
        <f t="shared" si="6"/>
        <v>2495.2124999999996</v>
      </c>
      <c r="E38">
        <v>1167</v>
      </c>
      <c r="H38" s="3" t="s">
        <v>36</v>
      </c>
      <c r="I38" s="3" t="s">
        <v>37</v>
      </c>
      <c r="J38" s="3">
        <f>1859-1769</f>
        <v>90</v>
      </c>
      <c r="K38" s="7">
        <f>J38*(47.61+39.18)*1.15</f>
        <v>8982.7649999999994</v>
      </c>
    </row>
    <row r="39" spans="1:11" x14ac:dyDescent="0.25">
      <c r="A39" t="s">
        <v>4</v>
      </c>
      <c r="B39">
        <f t="shared" si="5"/>
        <v>40</v>
      </c>
      <c r="C39" s="1">
        <f t="shared" si="6"/>
        <v>3992.3399999999992</v>
      </c>
      <c r="E39">
        <v>1207</v>
      </c>
      <c r="H39" s="3" t="s">
        <v>38</v>
      </c>
      <c r="I39" s="3" t="s">
        <v>39</v>
      </c>
      <c r="J39" s="3">
        <f>1944-1859</f>
        <v>85</v>
      </c>
      <c r="K39" s="7">
        <f>J39*(47.61+39.18)*1.15</f>
        <v>8483.722499999998</v>
      </c>
    </row>
    <row r="40" spans="1:11" x14ac:dyDescent="0.25">
      <c r="A40" t="s">
        <v>5</v>
      </c>
      <c r="B40">
        <f t="shared" si="5"/>
        <v>54</v>
      </c>
      <c r="C40" s="1">
        <f t="shared" si="6"/>
        <v>5389.6589999999997</v>
      </c>
      <c r="E40">
        <v>1261</v>
      </c>
      <c r="H40" s="3" t="s">
        <v>40</v>
      </c>
      <c r="I40" s="3" t="s">
        <v>41</v>
      </c>
      <c r="J40" s="3">
        <f>1979-1944</f>
        <v>35</v>
      </c>
      <c r="K40" s="7">
        <f>J40*(47.61+39.18)*1.15</f>
        <v>3493.2974999999992</v>
      </c>
    </row>
    <row r="41" spans="1:11" x14ac:dyDescent="0.25">
      <c r="A41" t="s">
        <v>6</v>
      </c>
      <c r="B41">
        <f t="shared" si="5"/>
        <v>32</v>
      </c>
      <c r="C41" s="1">
        <f t="shared" si="6"/>
        <v>3193.8719999999994</v>
      </c>
      <c r="E41">
        <v>1293</v>
      </c>
    </row>
    <row r="42" spans="1:11" x14ac:dyDescent="0.25">
      <c r="A42" t="s">
        <v>7</v>
      </c>
      <c r="B42">
        <f t="shared" si="5"/>
        <v>31</v>
      </c>
      <c r="C42" s="1">
        <f t="shared" si="6"/>
        <v>3094.0634999999993</v>
      </c>
      <c r="E42">
        <v>1324</v>
      </c>
    </row>
    <row r="43" spans="1:11" x14ac:dyDescent="0.25">
      <c r="A43" t="s">
        <v>8</v>
      </c>
      <c r="B43">
        <f t="shared" si="5"/>
        <v>101</v>
      </c>
      <c r="C43" s="1">
        <f t="shared" si="6"/>
        <v>10080.658499999998</v>
      </c>
      <c r="E43">
        <v>1425</v>
      </c>
    </row>
    <row r="44" spans="1:11" x14ac:dyDescent="0.25">
      <c r="A44" t="s">
        <v>9</v>
      </c>
      <c r="B44">
        <f t="shared" si="5"/>
        <v>88</v>
      </c>
      <c r="C44" s="1">
        <f t="shared" si="6"/>
        <v>8783.1479999999992</v>
      </c>
      <c r="E44">
        <v>1513</v>
      </c>
    </row>
    <row r="45" spans="1:11" x14ac:dyDescent="0.25">
      <c r="A45" t="s">
        <v>10</v>
      </c>
      <c r="B45">
        <f t="shared" si="5"/>
        <v>53</v>
      </c>
      <c r="C45" s="1">
        <f t="shared" si="6"/>
        <v>5289.8504999999996</v>
      </c>
      <c r="E45">
        <v>1566</v>
      </c>
    </row>
    <row r="46" spans="1:11" x14ac:dyDescent="0.25">
      <c r="A46" t="s">
        <v>11</v>
      </c>
      <c r="B46">
        <f t="shared" si="5"/>
        <v>74</v>
      </c>
      <c r="C46" s="1">
        <f t="shared" si="6"/>
        <v>7385.8289999999988</v>
      </c>
      <c r="E46">
        <v>1640</v>
      </c>
    </row>
    <row r="48" spans="1:11" x14ac:dyDescent="0.25">
      <c r="B48" t="s">
        <v>15</v>
      </c>
      <c r="C48" t="s">
        <v>14</v>
      </c>
    </row>
    <row r="49" spans="1:5" x14ac:dyDescent="0.25">
      <c r="A49">
        <v>2018</v>
      </c>
      <c r="B49">
        <f>SUM(B3:B14)</f>
        <v>1636</v>
      </c>
      <c r="C49" s="1">
        <f>SUM(C3:C14)</f>
        <v>149383.16</v>
      </c>
      <c r="E49">
        <f>C49/B49</f>
        <v>91.31</v>
      </c>
    </row>
    <row r="50" spans="1:5" x14ac:dyDescent="0.25">
      <c r="A50">
        <v>2019</v>
      </c>
      <c r="B50">
        <f>SUM(B19:B30)</f>
        <v>892</v>
      </c>
      <c r="C50" s="1">
        <f>SUM(C19:C30)</f>
        <v>85151.657999999981</v>
      </c>
      <c r="E50">
        <f>C50/B50</f>
        <v>95.461499999999972</v>
      </c>
    </row>
    <row r="51" spans="1:5" x14ac:dyDescent="0.25">
      <c r="A51">
        <v>2020</v>
      </c>
      <c r="B51">
        <f>SUM(B35:B46)</f>
        <v>702</v>
      </c>
      <c r="C51" s="1">
        <f>SUM(C35:C46)</f>
        <v>70065.566999999995</v>
      </c>
      <c r="E51">
        <f>C51/B51</f>
        <v>99.808499999999995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EE</vt:lpstr>
      <vt:lpstr>ZP faktury</vt:lpstr>
      <vt:lpstr>VODA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2023-05-02T08:36:16Z</dcterms:modified>
</cp:coreProperties>
</file>